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pio.sharepoint.com/sites/HPIO/Shared Documents/Company/Dashboard 6.0 - 2024/VERSIONS TO POST/"/>
    </mc:Choice>
  </mc:AlternateContent>
  <xr:revisionPtr revIDLastSave="536" documentId="8_{4C931866-689F-47B2-87CC-AAC87D6E0249}" xr6:coauthVersionLast="47" xr6:coauthVersionMax="47" xr10:uidLastSave="{EFB54B24-F825-415C-9ADB-BFAA1A06B6AC}"/>
  <bookViews>
    <workbookView xWindow="-108" yWindow="-108" windowWidth="23256" windowHeight="12456" xr2:uid="{396B257D-691B-4C2E-8E2E-B6E069510094}"/>
  </bookViews>
  <sheets>
    <sheet name="Race and Ethnicity Appendix" sheetId="1" r:id="rId1"/>
    <sheet name="Disability Appendix" sheetId="4" r:id="rId2"/>
    <sheet name="Education-Income Appendix" sheetId="2" r:id="rId3"/>
    <sheet name="LGBTQ+ Appendix" sheetId="6" r:id="rId4"/>
  </sheets>
  <definedNames>
    <definedName name="_xlnm._FilterDatabase" localSheetId="1" hidden="1">'Disability Appendix'!$A$12:$I$25</definedName>
    <definedName name="_xlnm._FilterDatabase" localSheetId="2" hidden="1">'Education-Income Appendix'!$A$12:$N$29</definedName>
    <definedName name="_xlnm._FilterDatabase" localSheetId="3" hidden="1">'LGBTQ+ Appendix'!$A$13:$A$26</definedName>
    <definedName name="_xlnm._FilterDatabase" localSheetId="0" hidden="1">'Race and Ethnicity Appendix'!$A$13:$O$44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6" l="1"/>
  <c r="K26" i="6"/>
  <c r="L25" i="6"/>
  <c r="K25" i="6"/>
  <c r="L24" i="6"/>
  <c r="K24" i="6"/>
  <c r="L23" i="6"/>
  <c r="K23" i="6"/>
  <c r="L22" i="6"/>
  <c r="K22" i="6"/>
  <c r="L21" i="6"/>
  <c r="K21" i="6"/>
  <c r="L20" i="6"/>
  <c r="K20" i="6"/>
  <c r="M19" i="6"/>
  <c r="L19" i="6"/>
  <c r="M18" i="6"/>
  <c r="L18" i="6"/>
  <c r="M17" i="6"/>
  <c r="L17" i="6"/>
  <c r="M16" i="6"/>
  <c r="L16" i="6"/>
  <c r="M15" i="6"/>
  <c r="L15" i="6"/>
  <c r="M14" i="6"/>
  <c r="L14" i="6"/>
  <c r="I29" i="2"/>
  <c r="I28" i="2"/>
  <c r="H28" i="2"/>
  <c r="I27" i="2"/>
  <c r="H27" i="2"/>
  <c r="H26" i="2"/>
  <c r="I25" i="2"/>
  <c r="H25" i="2"/>
  <c r="I24" i="2"/>
  <c r="H24" i="2"/>
  <c r="I23" i="2"/>
  <c r="I22" i="2"/>
  <c r="I21" i="2"/>
  <c r="I20" i="2"/>
  <c r="I19" i="2"/>
  <c r="H19" i="2"/>
  <c r="I18" i="2"/>
  <c r="H18" i="2"/>
  <c r="H17" i="2"/>
  <c r="I16" i="2"/>
  <c r="H16" i="2"/>
  <c r="I15" i="2"/>
  <c r="I14" i="2"/>
  <c r="H14" i="2"/>
  <c r="I13" i="2"/>
  <c r="H13" i="2"/>
  <c r="G29" i="2"/>
  <c r="F29" i="2"/>
  <c r="E26" i="2"/>
  <c r="D26" i="2"/>
  <c r="G24" i="2"/>
  <c r="F24" i="2"/>
  <c r="E24" i="2"/>
  <c r="D24" i="2"/>
  <c r="G23" i="2"/>
  <c r="F23" i="2"/>
  <c r="G22" i="2"/>
  <c r="F22" i="2"/>
  <c r="E23" i="4"/>
  <c r="D23" i="4"/>
  <c r="E20" i="4"/>
  <c r="D20" i="4"/>
  <c r="J41" i="1" l="1"/>
  <c r="J40" i="1"/>
  <c r="J39" i="1"/>
  <c r="J38" i="1"/>
  <c r="J37" i="1"/>
  <c r="J36" i="1"/>
  <c r="J34" i="1"/>
  <c r="J33" i="1"/>
  <c r="J31" i="1"/>
  <c r="J30" i="1"/>
  <c r="J29" i="1"/>
  <c r="J28" i="1"/>
  <c r="J27" i="1"/>
  <c r="J26" i="1"/>
  <c r="J24" i="1"/>
  <c r="J22" i="1"/>
  <c r="J21" i="1"/>
  <c r="J20" i="1"/>
  <c r="J19" i="1"/>
  <c r="J17" i="1"/>
  <c r="J15" i="1"/>
  <c r="J14" i="1"/>
  <c r="I42" i="1"/>
  <c r="I41" i="1"/>
  <c r="I40" i="1"/>
  <c r="I37" i="1"/>
  <c r="I36" i="1"/>
  <c r="I35" i="1"/>
  <c r="I31" i="1"/>
  <c r="I30" i="1"/>
  <c r="I28" i="1"/>
  <c r="I27" i="1"/>
  <c r="I24" i="1"/>
  <c r="I21" i="1"/>
  <c r="I20" i="1"/>
  <c r="I19" i="1"/>
  <c r="I18" i="1"/>
  <c r="I17" i="1"/>
  <c r="I16" i="1"/>
  <c r="I15" i="1"/>
  <c r="I14" i="1"/>
  <c r="H44" i="1"/>
  <c r="H43" i="1"/>
  <c r="H42" i="1"/>
  <c r="H41" i="1"/>
  <c r="H40" i="1"/>
  <c r="H37" i="1"/>
  <c r="H36" i="1"/>
  <c r="H35" i="1"/>
  <c r="H31" i="1"/>
  <c r="H30" i="1"/>
  <c r="H28" i="1"/>
  <c r="H27" i="1"/>
  <c r="H26" i="1"/>
  <c r="H25" i="1"/>
  <c r="H24" i="1"/>
  <c r="H21" i="1"/>
  <c r="H20" i="1"/>
  <c r="H19" i="1"/>
  <c r="H18" i="1"/>
  <c r="H17" i="1"/>
  <c r="H16" i="1"/>
  <c r="H15" i="1"/>
  <c r="H14" i="1"/>
  <c r="G39" i="1" l="1"/>
  <c r="F39" i="1"/>
  <c r="G38" i="1"/>
  <c r="F38" i="1"/>
  <c r="G34" i="1"/>
  <c r="F34" i="1"/>
  <c r="G33" i="1"/>
  <c r="F33" i="1"/>
  <c r="G29" i="1"/>
  <c r="F29" i="1"/>
  <c r="F23" i="1"/>
  <c r="I23" i="1" s="1"/>
  <c r="E39" i="1"/>
  <c r="H39" i="1" s="1"/>
  <c r="E38" i="1"/>
  <c r="E34" i="1"/>
  <c r="H34" i="1" s="1"/>
  <c r="E33" i="1"/>
  <c r="H33" i="1" s="1"/>
  <c r="E32" i="1"/>
  <c r="E29" i="1"/>
  <c r="E23" i="1"/>
  <c r="H23" i="1" s="1"/>
  <c r="D39" i="1"/>
  <c r="D38" i="1"/>
  <c r="D34" i="1"/>
  <c r="D33" i="1"/>
  <c r="D32" i="1"/>
  <c r="I32" i="1" s="1"/>
  <c r="D29" i="1"/>
  <c r="D23" i="1"/>
  <c r="D22" i="1"/>
  <c r="I29" i="1" l="1"/>
  <c r="I38" i="1"/>
  <c r="H22" i="1"/>
  <c r="I22" i="1"/>
  <c r="I34" i="1"/>
  <c r="I39" i="1"/>
  <c r="H38" i="1"/>
  <c r="H29" i="1"/>
  <c r="H32" i="1"/>
  <c r="I33" i="1"/>
  <c r="F22" i="4" l="1"/>
  <c r="F19" i="4"/>
  <c r="F17" i="4"/>
  <c r="F24" i="4"/>
  <c r="F14" i="4"/>
  <c r="F18" i="4"/>
  <c r="F21" i="4"/>
  <c r="F25" i="4"/>
  <c r="F13" i="4"/>
  <c r="F15" i="4"/>
  <c r="F16" i="4"/>
  <c r="F23" i="4" l="1"/>
  <c r="F20" i="4"/>
</calcChain>
</file>

<file path=xl/sharedStrings.xml><?xml version="1.0" encoding="utf-8"?>
<sst xmlns="http://schemas.openxmlformats.org/spreadsheetml/2006/main" count="670" uniqueCount="246">
  <si>
    <t>Health Policy Institute of Ohio</t>
  </si>
  <si>
    <t>Key</t>
  </si>
  <si>
    <t>Little to no disparity</t>
  </si>
  <si>
    <t>Disparity ratio is less than 1.10.</t>
  </si>
  <si>
    <t>Medium disparity</t>
  </si>
  <si>
    <t>Disparity ratio is greater than or equal to 1.1 and less than 2.</t>
  </si>
  <si>
    <t>Large disparity</t>
  </si>
  <si>
    <t>Disparity ratio is greater than or equal to 2.</t>
  </si>
  <si>
    <t>N/A</t>
  </si>
  <si>
    <t>Not applicable or data is not available</t>
  </si>
  <si>
    <t>*4,445 years of potential life lost per 100,000 population would be avoided if the disparity were eliminated.</t>
  </si>
  <si>
    <t>Note: This appendix provides data on a few additional measures that are not included on the equity profiles in the 2021 Health Value Dashboard (pages 15-18). Disparity ratios were calculated by dividing the outcome (e.g., rate or percent) of comparison groups (i.e., groups that consistently experience worse outcomes and are systematically disadvantaged) by the outcome of the reference group (i.e., the group that most consistently experiences the best outcomes and is systematically advantaged). Disparity ratio thresholds were adapted from Healthy People 2020 criteria. Estimated impact is an estimate of the number of Ohioans from the comparison group that would be impacted if the group experienced the same outcomes as the reference group. For more information, see the methodology.</t>
  </si>
  <si>
    <t>Metric information</t>
  </si>
  <si>
    <t>Data values</t>
  </si>
  <si>
    <t>Disparity ratio</t>
  </si>
  <si>
    <t>Estimated impact</t>
  </si>
  <si>
    <t>Source information</t>
  </si>
  <si>
    <t>Domain</t>
  </si>
  <si>
    <r>
      <t xml:space="preserve">Metric short name. </t>
    </r>
    <r>
      <rPr>
        <sz val="11"/>
        <color theme="0"/>
        <rFont val="Century Gothic"/>
        <family val="1"/>
      </rPr>
      <t>Metric long name</t>
    </r>
    <r>
      <rPr>
        <b/>
        <sz val="11"/>
        <color theme="0"/>
        <rFont val="Century Gothic"/>
        <family val="1"/>
      </rPr>
      <t xml:space="preserve"> </t>
    </r>
    <r>
      <rPr>
        <sz val="11"/>
        <color theme="0"/>
        <rFont val="Century Gothic"/>
        <family val="1"/>
      </rPr>
      <t>(data year)</t>
    </r>
  </si>
  <si>
    <t>Metric description</t>
  </si>
  <si>
    <t>White</t>
  </si>
  <si>
    <t>Black</t>
  </si>
  <si>
    <t>Hispanic</t>
  </si>
  <si>
    <t>Asian American</t>
  </si>
  <si>
    <t>Black/white</t>
  </si>
  <si>
    <t>Hispanic/white</t>
  </si>
  <si>
    <t>Number of Black Ohioans impacted if disparity eliminated</t>
  </si>
  <si>
    <t>Number of Hispanic Ohioans impacted if disparity eliminated</t>
  </si>
  <si>
    <t>Source</t>
  </si>
  <si>
    <t>Racial/ethnic groups as described by the data source</t>
  </si>
  <si>
    <t>Health</t>
  </si>
  <si>
    <t>Number of infant deaths per 1,000 live births (within 1 year).</t>
  </si>
  <si>
    <t>Ohio Department of Health, "2020 Ohio Infant Mortality Annual Report"</t>
  </si>
  <si>
    <t>Asian or Pacific Islander; Black; Hispanic; White</t>
  </si>
  <si>
    <t>Average number of years of potential life lost before age 75, per 100,000 population.</t>
  </si>
  <si>
    <t>4,445*</t>
  </si>
  <si>
    <t>Web-based Injury Statistics Query and Reporting System (WISQARS) database system, National Center for Injury Prevention and Control, Centers for Disease Control and Prevention, as compiled by State Health Compare, State Health Access Data Assistance Center (SHADAC), University of Minnesota</t>
  </si>
  <si>
    <t>Asian or Pacific Islander; Black or African-American; Hispanic or Latino; White</t>
  </si>
  <si>
    <t>Percent of adults who have been told by a doctor, nurse or other health professional that they have diabetes.</t>
  </si>
  <si>
    <t>Black, non-Hispanic; Hispanic; White, non-Hispanic</t>
  </si>
  <si>
    <t>Number of deaths due to heart diseases (ICD-10 codes I00–I09, I11, I13, I20–I51), per 100,000 population, age-adjusted.</t>
  </si>
  <si>
    <t>Ohio Department of Health, Ohio Public Health Information Warehouse</t>
  </si>
  <si>
    <t>Asian or Pacific Islander, non-Hispanic; Black, non-Hispanic; Hispanic; White, non-Hispanic</t>
  </si>
  <si>
    <t>Percent of adults ages 18-64 who have lost six or more teeth because of tooth decay, infection or gum disease.</t>
  </si>
  <si>
    <t>Black; Latinx/Hispanic; White</t>
  </si>
  <si>
    <t>Percent of adults who have ever been told by a doctor, nurse or other health professional they have a form of depression.</t>
  </si>
  <si>
    <t>Access and healthcare system</t>
  </si>
  <si>
    <t>Percent of adults who report going without care because of cost in the past year.</t>
  </si>
  <si>
    <t>Percent of adults ages 19-64 who are uninsured in the state.</t>
  </si>
  <si>
    <t>U.S. Census Bureau, American Community Survey 5-year estimates - Tables C27001A, B, D and I</t>
  </si>
  <si>
    <t>Asian alone; Black or African American alone; Hispanic or Latino; White alone</t>
  </si>
  <si>
    <t>Percent of women who completed a pregnancy in the last 12 months and did not receive prenatal care in the first trimester.</t>
  </si>
  <si>
    <t>Social and economic environment</t>
  </si>
  <si>
    <t>Percent of students with excused or unexcused absences from school that exceed at least 10% of possible attendance hours, for students with at least 100 hours of possible attendance.</t>
  </si>
  <si>
    <t>Asian or Pacific Islander; Black, Non-Hispanic; Hispanic; White, Non-Hispanic</t>
  </si>
  <si>
    <t>Analysis of Ohio Department of Rehabilitation and Corrections annual report and U.S. Census Bureau, American Community Survey, 1-year estimates by HPIO</t>
  </si>
  <si>
    <t>Black; White</t>
  </si>
  <si>
    <t>Ohio Incident-Based Reporting System and American Community Survey, as compiled by the Ohio Department of Rehabilitation and Corrections, by request.</t>
  </si>
  <si>
    <t>Asian; Black; White</t>
  </si>
  <si>
    <t>Percent of people under age 18, in households with incomes below the federal poverty level.</t>
  </si>
  <si>
    <t>Percent of people who are unemployed during the reference week surveyed by the American Community Survey (ACS). The ACS defines people ages 16 or older who are not working but participating in the labor force (i.e. willing, able and looking for work) as unemployed.</t>
  </si>
  <si>
    <t>Asian alone; Black or African American alone; Hispanic or Latino origin (of any race); White alone</t>
  </si>
  <si>
    <t>Percent of students who do not graduate in four years with a regular high school diploma using the state of Ohio method for calculating graduation rates. The percent of students who graduate in four years was calculated using the adjusted cohort graduation rate (ACGR). From the beginning of ninth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t>
  </si>
  <si>
    <t>Ohio Department of Education, Title 1 data</t>
  </si>
  <si>
    <t>Percent of youth, ages 16-24, who are not working or in school.</t>
  </si>
  <si>
    <t>Analysis of U.S. Census Bureau, American Community Survey Public Use Microdata Sample by HPIO and The Voinovich School of Leadership &amp; Public Affairs, Ohio University</t>
  </si>
  <si>
    <t>Asian, non-Hispanic; Black, non-Hispanic; Hispanic; White, non-Hispanic</t>
  </si>
  <si>
    <t>Percent of children who have experienced two or more adverse experiences (ACEs), among nine ACEs defined by the National Survey of Children's Health: "Somewhat often" or "very often" hard to get by on family income; parent or guardian divorced or separated; parent or guardian died; parent or guardian served time in jail; child saw or heard parents or adults slap, hit, kick punch one another in the home; child was a victim of violence or witnessed violence in neighborhood; child lived with anyone who was mentally ill, suicidal, or severely depressed; child lived with anyone who had a problem with alcohol or drugs; child treated or judged unfairly due to race/ethnicity; and child treated or judged unfairly due to sexual orientation or gender identity.</t>
  </si>
  <si>
    <t>Analysis of Health Resources and Services Administration, National Survey of Children's Health by HPIO and The Voinovich School of Leadership &amp; Public Affairs, Ohio University</t>
  </si>
  <si>
    <t>Percent of 4th grade public school students measured "below basic" or "basic" by the National Assessment of Educational Progress (NAEP) reading test. Public schools include charter schools and exclude Bureau of Indian Education schools and Department of Defense Education Activity schools.</t>
  </si>
  <si>
    <t>U.S. Department of Education, National Assessment of Educational Progress</t>
  </si>
  <si>
    <t>Black; Hispanic; White</t>
  </si>
  <si>
    <t>Percent of people who are not in the labor force during the reference week surveyed by the American Community Survey (ACS). The ACS defines people ages 16 or older who are working or jobless but available for work and looking for a job as participating in the labor force.</t>
  </si>
  <si>
    <t>Physical environment</t>
  </si>
  <si>
    <t>Percent of children in families who could sometimes or often not afford enough to eat.</t>
  </si>
  <si>
    <t>Percent of households with no vehicle.</t>
  </si>
  <si>
    <t>Asian or Pacific Islander; Black; Latino; White</t>
  </si>
  <si>
    <t>Percent of children ages 0-17 who live in households where someone smokes (cigarettes, cigars or pipe tobacco).</t>
  </si>
  <si>
    <t>Analysis of Health Resources and Services Administration, National Survey of Children's Health by HPIO</t>
  </si>
  <si>
    <t>Percent of households (owners and renters) with housing costs greater than 50% of monthly income. Housing costs include rent or mortgage payments and utilities. The numerator includes all households of a given group of interest who have a housing cost burden of 50% or more. The denominator includes all households of a given group of interest, at all levels of cost burden.</t>
  </si>
  <si>
    <t>Analysis of American Community Survey as compiled by the U.S. Department of Housing and Urban Development, Office of Policy Development and Research, Comprehensive Housing Affordability Strategy data by HPIO and The Voinovich School of Leadership &amp; Public Affairs, Ohio University</t>
  </si>
  <si>
    <t>Asian alone, non-Hispanic; Black or African-American alone, non-Hispanic; Hispanic, any race; White alone, non-Hispanic</t>
  </si>
  <si>
    <t>Percent of people who do not have broadband internet access, such as cable, fiber optic or DSL. This will normally refer to a service that someone is billed for directly for Internet alone or sometimes as part of a bundle.</t>
  </si>
  <si>
    <t>U.S. Census Bureau, American Community Survey 5-year estimates - Table S2802</t>
  </si>
  <si>
    <t xml:space="preserve">Index of exposure to carcinogenic and non- carcinogenic air pollutants. Values range from 1 (lowest risk) to 100 (highest risk) on a national scale based on the distribution across census tracts nationwide. For example, a value of 37 for Black Ohioans suggests that the average pollution exposure for Black Ohioans is equivalent to the census tract that ranks at the 37th percentile nationally in pollution exposure (i.e., has more exposure than 36 percent of U.S. tracts, but less exposure than 63 percent of tracts). </t>
  </si>
  <si>
    <t>U.S. Environmental Protection Agency, National-Scale Air Toxics Assessment and American Community Survey as compiled by the National Equity Atlas</t>
  </si>
  <si>
    <t>Experiences of racism</t>
  </si>
  <si>
    <t>Percent of children who have ever been treated or judged unfairly because of his or her race or ethnic group.</t>
  </si>
  <si>
    <t>Percent of Ohioans, ages 18 and older, who are treated worse than other races when seeking healthcare in the past year, including people who report that they are treated "worse than other races" and "worse than some races, better than others".</t>
  </si>
  <si>
    <t>Black, non-Hispanic; White, non-Hispanic</t>
  </si>
  <si>
    <t>Percent of Ohioans, ages 18 and older, who are treated worse than other races at work in the past year, including people who report that they are treated "worse than other races" and "worse than some races, better than others".</t>
  </si>
  <si>
    <t>Estimated impact*</t>
  </si>
  <si>
    <r>
      <t xml:space="preserve">Metric short name. </t>
    </r>
    <r>
      <rPr>
        <sz val="11"/>
        <color theme="0"/>
        <rFont val="Century Gothic"/>
        <family val="2"/>
      </rPr>
      <t>Metric long name</t>
    </r>
    <r>
      <rPr>
        <b/>
        <sz val="11"/>
        <color theme="0"/>
        <rFont val="Century Gothic"/>
        <family val="2"/>
      </rPr>
      <t xml:space="preserve"> </t>
    </r>
    <r>
      <rPr>
        <sz val="11"/>
        <color theme="0"/>
        <rFont val="Century Gothic"/>
        <family val="1"/>
      </rPr>
      <t>(data year)</t>
    </r>
  </si>
  <si>
    <t>People with disabilities</t>
  </si>
  <si>
    <t>People without disabilities</t>
  </si>
  <si>
    <t>People with disabilities/People without disabilities</t>
  </si>
  <si>
    <t>Number of Ohioans with disabilities impacted if disparity eliminated</t>
  </si>
  <si>
    <t>Disability status groups used by source</t>
  </si>
  <si>
    <t>Any disability; No disability</t>
  </si>
  <si>
    <t>U.S. Census Bureau, American Community Survey 5-year estimates - Table B18135</t>
  </si>
  <si>
    <t>With a disability; No disability</t>
  </si>
  <si>
    <t>Percent of people who are in the labor force during the reference week surveyed by the American Community Survey (ACS). The ACS defines people ages 16 or older who are working or jobless but available for work and looking for a job as participating in the labor force.</t>
  </si>
  <si>
    <t>Has a disability; Does not have a disability</t>
  </si>
  <si>
    <t>Percent of students who do not graduate in four years with a regular high school diploma using the state of Ohio method for calculating graduation rates. The percent of students who graduate in four years was calculated using adjusted cohort graduation rate (ACGR). From the beginning of ninth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t>
  </si>
  <si>
    <t>Disabled; Non-Disabled</t>
  </si>
  <si>
    <t>Percent of people under age 18,  in households with incomes below the federal poverty level.</t>
  </si>
  <si>
    <t>Identified as students with disabilities; Not identified as students with disabilities</t>
  </si>
  <si>
    <t>Students with Disabilities; Students without Disabilities</t>
  </si>
  <si>
    <t>Less than high school</t>
  </si>
  <si>
    <t>Bachelor's degree or above</t>
  </si>
  <si>
    <t>Low-income</t>
  </si>
  <si>
    <t>High-income</t>
  </si>
  <si>
    <t>Less than high school/Bachelor's degree or above</t>
  </si>
  <si>
    <t>Low-income/high-income</t>
  </si>
  <si>
    <t>Number of Ohioans with less than a high school diploma impacted if disparity eliminated</t>
  </si>
  <si>
    <t>Number of Ohioans with low incomes impacted if disparity eliminated</t>
  </si>
  <si>
    <t>Definition of low education and high education from source</t>
  </si>
  <si>
    <t>Definition of low-income and high-income from source</t>
  </si>
  <si>
    <t>Less than high school; College graduate</t>
  </si>
  <si>
    <t>Less than $15,000; $50,000+ (annual income)</t>
  </si>
  <si>
    <r>
      <rPr>
        <b/>
        <sz val="11"/>
        <rFont val="Century Gothic"/>
        <family val="2"/>
      </rPr>
      <t>Poor oral health.</t>
    </r>
    <r>
      <rPr>
        <sz val="11"/>
        <rFont val="Century Gothic"/>
        <family val="2"/>
      </rPr>
      <t xml:space="preserve"> Percent of adults, ages 18-64, who have lost six or more teeth because of tooth decay, infection or gum disease (2018-2020)</t>
    </r>
  </si>
  <si>
    <t>Under 200% of poverty threshold; 400% of poverty threshold and over</t>
  </si>
  <si>
    <t>Centers for Disease Control and Prevention, Wide-ranging Online Data for Epidemiologic Research (WONDER)</t>
  </si>
  <si>
    <t>Less than a high school diploma; Bachelor's degree or higher</t>
  </si>
  <si>
    <t>U.S. Census Bureau, American Community Survey 5-year estimates - Table B27019 (educational attainment) and Table C27016 (income)</t>
  </si>
  <si>
    <t>Less than high school graduate; Bachelor's degree or higher (ages 26-64)</t>
  </si>
  <si>
    <t>Under 138% of poverty threshold; 400% of poverty threshold and over</t>
  </si>
  <si>
    <t>Less than high school; College or more (highest education of adult in household)</t>
  </si>
  <si>
    <t>50% of federal poverty level (FPL) or below; 400% FPL or more (household income)</t>
  </si>
  <si>
    <t>Economically disadvantaged; non-economically disadvantaged</t>
  </si>
  <si>
    <t>Income to poverty ratio below 501%; Income to poverty ratio 501% or higher</t>
  </si>
  <si>
    <r>
      <rPr>
        <b/>
        <sz val="11"/>
        <rFont val="Century Gothic"/>
        <family val="2"/>
      </rPr>
      <t xml:space="preserve">Fourth-grade reading. </t>
    </r>
    <r>
      <rPr>
        <sz val="11"/>
        <rFont val="Century Gothic"/>
        <family val="2"/>
      </rPr>
      <t>Percent of 4th grade public school students who were not proficient in reading by a national assessment (NAEP) (2022)</t>
    </r>
  </si>
  <si>
    <t>Eligible for National School Lunch Program (NLSP); Not eligible for NLSP</t>
  </si>
  <si>
    <t>Economic disadvantaged; Non-Economic disadvantaged</t>
  </si>
  <si>
    <t>Less than high school graduate; Bachelor's degree or higher (ages 25 to 64)</t>
  </si>
  <si>
    <t>Below poverty level; At or above the poverty level</t>
  </si>
  <si>
    <t>Percent of people, ages 25 and over, who do not have broadband internet access, such as cable, fiber optic or DSL. This will normally refer to a service that someone is billed for directly for Internet alone or sometimes as part of a bundle.</t>
  </si>
  <si>
    <t>Less than high school graduate or equivalency; Bachelor's degree or higher</t>
  </si>
  <si>
    <r>
      <rPr>
        <b/>
        <sz val="11"/>
        <rFont val="Century Gothic"/>
        <family val="2"/>
      </rPr>
      <t>Child in a household with a person who smokes.</t>
    </r>
    <r>
      <rPr>
        <sz val="11"/>
        <rFont val="Century Gothic"/>
        <family val="2"/>
      </rPr>
      <t xml:space="preserve"> Percent of children, ages 0-17, who live in households where someone smokes (cigarettes, cigars or pipe tobacco) (2018-2021)</t>
    </r>
  </si>
  <si>
    <t>Household income is less than or equal to 30% of HUD Area Median Family Income (HAMFI); Household income is greater than 100% of HAMFI</t>
  </si>
  <si>
    <t>Wide confidence interval, indicating unstable estimate. Interpret with caution.</t>
  </si>
  <si>
    <t>Heterosexual (straight)</t>
  </si>
  <si>
    <t>Gay or lesbian</t>
  </si>
  <si>
    <t>Bisexual</t>
  </si>
  <si>
    <t>Gay, lesbian or bisexual</t>
  </si>
  <si>
    <t>Cisgender</t>
  </si>
  <si>
    <t>Transgender</t>
  </si>
  <si>
    <t>Gay or lesbian/heterosexual</t>
  </si>
  <si>
    <t>Bisexual/heterosexual</t>
  </si>
  <si>
    <t>Gay, lesbian or bisexual/heterosexual</t>
  </si>
  <si>
    <t>Transgender/ cisgender</t>
  </si>
  <si>
    <t>Percent of youth ages 12-17 who used cigarettes, smokeless tobacco (i.e. snuff, dip, chewing tobacco, or "snus") or cigars during past 30 days (does not include e-cigarettes).</t>
  </si>
  <si>
    <t>Centers for Disease Control and Prevention, Youth Risk Behavioral Surveillance Survey</t>
  </si>
  <si>
    <t>Percent of high school youth who reported feeling sad or hopeless almost everyday for two or more weeks in a row so that they stopped doing some usual activities, during the past 12 months.</t>
  </si>
  <si>
    <t>Percent of high school youth that report binge drinking, defined as consuming more than four (women) or five (men) alcoholic beverages on a single occasion in the past 30 days.</t>
  </si>
  <si>
    <t xml:space="preserve">Percent of youth who reported seriously considering attempting suicide in the past 12 months. </t>
  </si>
  <si>
    <t xml:space="preserve">Percent of youth who reported attempting suicide one or more times in the past 12 months. </t>
  </si>
  <si>
    <t>Percent of adults that report either binge drinking, defined as consuming more than 4 (women) or 5 (men) alcoholic beverages on a single occasion in the past 30 days, or chronic drinking, defined as having eight or more (women) or 15 or more (men) drinks per week.</t>
  </si>
  <si>
    <t>Percent of adults, ages 18 and older, reporting no physical activity during the past 30 days other than their regular job.</t>
  </si>
  <si>
    <t>Percent of adults, ages 18 and older, who currently smoke.</t>
  </si>
  <si>
    <t xml:space="preserve">Percent of adults who have ever been told by a doctor, nurse or other health professional they have a form of depression. </t>
  </si>
  <si>
    <t>Percent of adults that report fair or poor health.</t>
  </si>
  <si>
    <r>
      <t>2024</t>
    </r>
    <r>
      <rPr>
        <b/>
        <i/>
        <sz val="11"/>
        <color theme="1"/>
        <rFont val="Century Gothic"/>
        <family val="2"/>
      </rPr>
      <t xml:space="preserve"> Health Value Dashboard </t>
    </r>
    <r>
      <rPr>
        <b/>
        <sz val="11"/>
        <color theme="1"/>
        <rFont val="Century Gothic"/>
        <family val="2"/>
      </rPr>
      <t>equity appendix (updated April 9, 2024)</t>
    </r>
  </si>
  <si>
    <r>
      <rPr>
        <b/>
        <sz val="11"/>
        <rFont val="Century Gothic"/>
        <family val="2"/>
      </rPr>
      <t xml:space="preserve">Adult depression. </t>
    </r>
    <r>
      <rPr>
        <sz val="11"/>
        <rFont val="Century Gothic"/>
        <family val="2"/>
      </rPr>
      <t>Percent of adults who have ever been told by a health professional that they have depression (2022)</t>
    </r>
  </si>
  <si>
    <r>
      <rPr>
        <b/>
        <sz val="11"/>
        <rFont val="Century Gothic"/>
        <family val="2"/>
      </rPr>
      <t xml:space="preserve">Adult diabetes. </t>
    </r>
    <r>
      <rPr>
        <sz val="11"/>
        <rFont val="Century Gothic"/>
        <family val="2"/>
      </rPr>
      <t>Percent of adults who have been told by a health professional that they have diabetes (2022)</t>
    </r>
  </si>
  <si>
    <r>
      <rPr>
        <b/>
        <sz val="11"/>
        <rFont val="Century Gothic"/>
        <family val="2"/>
      </rPr>
      <t>Chronic absenteeism.</t>
    </r>
    <r>
      <rPr>
        <sz val="11"/>
        <rFont val="Century Gothic"/>
        <family val="2"/>
      </rPr>
      <t xml:space="preserve"> Percent of students who were chronically absent from school (2022-2023 school year)</t>
    </r>
  </si>
  <si>
    <r>
      <rPr>
        <b/>
        <sz val="11"/>
        <rFont val="Century Gothic"/>
        <family val="2"/>
      </rPr>
      <t xml:space="preserve">High school graduation. </t>
    </r>
    <r>
      <rPr>
        <sz val="11"/>
        <rFont val="Century Gothic"/>
        <family val="2"/>
      </rPr>
      <t>Percent of students who do not graduate in four years with a regular high school diploma (2022-2023 school year)</t>
    </r>
  </si>
  <si>
    <r>
      <rPr>
        <b/>
        <sz val="11"/>
        <rFont val="Century Gothic"/>
        <family val="2"/>
      </rPr>
      <t>Severe housing cost burden.</t>
    </r>
    <r>
      <rPr>
        <sz val="11"/>
        <rFont val="Century Gothic"/>
        <family val="2"/>
      </rPr>
      <t xml:space="preserve"> Percent of households (owners and renters) with housing costs greater than 50% of monthly income (2016-2020)</t>
    </r>
  </si>
  <si>
    <r>
      <rPr>
        <b/>
        <sz val="11"/>
        <rFont val="Century Gothic"/>
        <family val="2"/>
      </rPr>
      <t xml:space="preserve">Infant mortality. </t>
    </r>
    <r>
      <rPr>
        <sz val="11"/>
        <rFont val="Century Gothic"/>
        <family val="2"/>
      </rPr>
      <t>Number of infant deaths per 1,000 live births (within 1 year) (2020)</t>
    </r>
  </si>
  <si>
    <r>
      <rPr>
        <b/>
        <sz val="11"/>
        <rFont val="Century Gothic"/>
        <family val="2"/>
      </rPr>
      <t xml:space="preserve">Premature death. </t>
    </r>
    <r>
      <rPr>
        <sz val="11"/>
        <rFont val="Century Gothic"/>
        <family val="2"/>
      </rPr>
      <t>Average number of years of potential life lost before age 75, per 100,000 population (2018-2019)</t>
    </r>
  </si>
  <si>
    <r>
      <rPr>
        <b/>
        <sz val="11"/>
        <rFont val="Century Gothic"/>
        <family val="2"/>
      </rPr>
      <t>Heart disease mortality.</t>
    </r>
    <r>
      <rPr>
        <sz val="11"/>
        <rFont val="Century Gothic"/>
        <family val="2"/>
      </rPr>
      <t xml:space="preserve"> Number of deaths due to heart diseases, per 100,000 population (age adjusted)(2020)</t>
    </r>
  </si>
  <si>
    <r>
      <rPr>
        <b/>
        <sz val="11"/>
        <rFont val="Century Gothic"/>
        <family val="2"/>
      </rPr>
      <t xml:space="preserve">Poor oral health. </t>
    </r>
    <r>
      <rPr>
        <sz val="11"/>
        <rFont val="Century Gothic"/>
        <family val="2"/>
      </rPr>
      <t>Percent of adults, ages 18-64, who have lost six or more teeth because of tooth decay, infection or gum disease (2018-2020)</t>
    </r>
  </si>
  <si>
    <r>
      <rPr>
        <b/>
        <sz val="11"/>
        <rFont val="Century Gothic"/>
        <family val="2"/>
      </rPr>
      <t xml:space="preserve">Unable to see doctor due to cost. </t>
    </r>
    <r>
      <rPr>
        <sz val="11"/>
        <rFont val="Century Gothic"/>
        <family val="2"/>
      </rPr>
      <t>Percent of adults who went without care because of cost in the past year (2022)</t>
    </r>
  </si>
  <si>
    <r>
      <rPr>
        <b/>
        <sz val="11"/>
        <rFont val="Century Gothic"/>
        <family val="2"/>
      </rPr>
      <t xml:space="preserve">Uninsured, adults. </t>
    </r>
    <r>
      <rPr>
        <sz val="11"/>
        <rFont val="Century Gothic"/>
        <family val="2"/>
      </rPr>
      <t>Percent of non-institutionalized adults ages 19-64 who are uninsured in the state (2018-2022)</t>
    </r>
  </si>
  <si>
    <r>
      <rPr>
        <b/>
        <sz val="11"/>
        <rFont val="Century Gothic"/>
        <family val="2"/>
      </rPr>
      <t xml:space="preserve">Prenatal care. </t>
    </r>
    <r>
      <rPr>
        <sz val="11"/>
        <rFont val="Century Gothic"/>
        <family val="2"/>
      </rPr>
      <t>Percent of women who completed a pregnancy in the last 12 months and did not receive prenatal care in the first trimester (2020)</t>
    </r>
  </si>
  <si>
    <r>
      <rPr>
        <b/>
        <sz val="11"/>
        <rFont val="Century Gothic"/>
        <family val="2"/>
      </rPr>
      <t>Flu vaccinations.</t>
    </r>
    <r>
      <rPr>
        <sz val="11"/>
        <rFont val="Century Gothic"/>
        <family val="2"/>
      </rPr>
      <t xml:space="preserve"> Percent of people, ages 6 months and older, who did not receive a flu vaccination (2022-2023 flu season)</t>
    </r>
  </si>
  <si>
    <r>
      <rPr>
        <b/>
        <sz val="11"/>
        <rFont val="Century Gothic"/>
        <family val="2"/>
      </rPr>
      <t>Incarceration.</t>
    </r>
    <r>
      <rPr>
        <sz val="11"/>
        <rFont val="Century Gothic"/>
        <family val="2"/>
      </rPr>
      <t xml:space="preserve"> Number of people incarcerated in Ohio Department of Rehabilitation and Corrections prisons, per 100,000 population (July 2023 snapshot; 2022 1-year estimates)</t>
    </r>
  </si>
  <si>
    <r>
      <rPr>
        <b/>
        <sz val="11"/>
        <rFont val="Century Gothic"/>
        <family val="2"/>
      </rPr>
      <t>Arrests.</t>
    </r>
    <r>
      <rPr>
        <sz val="11"/>
        <rFont val="Century Gothic"/>
        <family val="2"/>
      </rPr>
      <t xml:space="preserve"> Number of people arrested, all ages, per 100,000 population (2022)</t>
    </r>
  </si>
  <si>
    <r>
      <rPr>
        <b/>
        <sz val="11"/>
        <rFont val="Century Gothic"/>
        <family val="2"/>
      </rPr>
      <t>Child poverty.</t>
    </r>
    <r>
      <rPr>
        <sz val="11"/>
        <rFont val="Century Gothic"/>
        <family val="2"/>
      </rPr>
      <t xml:space="preserve"> Percent of people under age 18, in households with incomes below the federal poverty level (2018-2022)</t>
    </r>
  </si>
  <si>
    <r>
      <rPr>
        <b/>
        <sz val="11"/>
        <rFont val="Century Gothic"/>
        <family val="2"/>
      </rPr>
      <t xml:space="preserve">Unemployment. </t>
    </r>
    <r>
      <rPr>
        <sz val="11"/>
        <rFont val="Century Gothic"/>
        <family val="2"/>
      </rPr>
      <t>Percent of people who are jobless, looking for a job and available for work (2018-2022)</t>
    </r>
  </si>
  <si>
    <r>
      <rPr>
        <b/>
        <sz val="11"/>
        <rFont val="Century Gothic"/>
        <family val="2"/>
      </rPr>
      <t>Disconnected youth.</t>
    </r>
    <r>
      <rPr>
        <sz val="11"/>
        <rFont val="Century Gothic"/>
        <family val="2"/>
      </rPr>
      <t xml:space="preserve"> Percent of youth, ages 16-24, who are not working or in school (2017-2021)</t>
    </r>
  </si>
  <si>
    <r>
      <rPr>
        <b/>
        <sz val="11"/>
        <rFont val="Century Gothic"/>
        <family val="2"/>
      </rPr>
      <t xml:space="preserve">Adverse childhood experiences. </t>
    </r>
    <r>
      <rPr>
        <sz val="11"/>
        <rFont val="Century Gothic"/>
        <family val="2"/>
      </rPr>
      <t>Percent of children who have experienced two or more adverse experiences (2020-2021)</t>
    </r>
  </si>
  <si>
    <r>
      <rPr>
        <b/>
        <sz val="11"/>
        <rFont val="Century Gothic"/>
        <family val="2"/>
      </rPr>
      <t xml:space="preserve">College enrollment within two years. </t>
    </r>
    <r>
      <rPr>
        <sz val="11"/>
        <rFont val="Century Gothic"/>
        <family val="2"/>
      </rPr>
      <t>Percent of students who did not enroll in a 2- or 4-year college within two years of graduating from high school (2022-2023)</t>
    </r>
  </si>
  <si>
    <r>
      <rPr>
        <b/>
        <sz val="11"/>
        <rFont val="Century Gothic"/>
        <family val="2"/>
      </rPr>
      <t>Labor force participation.</t>
    </r>
    <r>
      <rPr>
        <sz val="11"/>
        <rFont val="Century Gothic"/>
        <family val="2"/>
      </rPr>
      <t xml:space="preserve"> Percent of people who are not in the labor force (i.e., neither working nor jobless but available for work and looking for work) (2018-2022)</t>
    </r>
  </si>
  <si>
    <r>
      <rPr>
        <b/>
        <sz val="11"/>
        <rFont val="Century Gothic"/>
        <family val="2"/>
      </rPr>
      <t xml:space="preserve">Food insecurity, children. </t>
    </r>
    <r>
      <rPr>
        <sz val="11"/>
        <rFont val="Century Gothic"/>
        <family val="2"/>
      </rPr>
      <t>Percent of children in families who could sometimes or often not afford enough to eat (2018-2021)</t>
    </r>
  </si>
  <si>
    <r>
      <rPr>
        <b/>
        <sz val="11"/>
        <rFont val="Century Gothic"/>
        <family val="2"/>
      </rPr>
      <t xml:space="preserve">Zero-vehicle households. </t>
    </r>
    <r>
      <rPr>
        <sz val="11"/>
        <rFont val="Century Gothic"/>
        <family val="2"/>
      </rPr>
      <t>Percent of households with no vehicle (2016-2020)</t>
    </r>
  </si>
  <si>
    <r>
      <rPr>
        <b/>
        <sz val="11"/>
        <rFont val="Century Gothic"/>
        <family val="2"/>
      </rPr>
      <t xml:space="preserve">Broadband internet access. </t>
    </r>
    <r>
      <rPr>
        <sz val="11"/>
        <rFont val="Century Gothic"/>
        <family val="2"/>
      </rPr>
      <t>Percent of people who do not have broadband internet access (2018-2022)</t>
    </r>
  </si>
  <si>
    <r>
      <rPr>
        <b/>
        <sz val="11"/>
        <rFont val="Century Gothic"/>
        <family val="2"/>
      </rPr>
      <t xml:space="preserve">Air pollution. </t>
    </r>
    <r>
      <rPr>
        <sz val="11"/>
        <rFont val="Century Gothic"/>
        <family val="2"/>
      </rPr>
      <t>Index of exposure to carcinogenic and non- carcinogenic air pollutants based on a national scale where 1 is lowest risk and 100 is highest risk compared to census tracts nationwide (2020)</t>
    </r>
  </si>
  <si>
    <r>
      <rPr>
        <b/>
        <sz val="11"/>
        <rFont val="Century Gothic"/>
        <family val="2"/>
      </rPr>
      <t xml:space="preserve">Treated worse in healthcare due to race. </t>
    </r>
    <r>
      <rPr>
        <sz val="11"/>
        <rFont val="Century Gothic"/>
        <family val="2"/>
      </rPr>
      <t>Percent of Ohioans, ages 18 and older, who are treated worse than other races when seeking healthcare in the past year (2022)</t>
    </r>
  </si>
  <si>
    <r>
      <rPr>
        <b/>
        <sz val="11"/>
        <rFont val="Century Gothic"/>
        <family val="2"/>
      </rPr>
      <t>Treated worse at work due to race.</t>
    </r>
    <r>
      <rPr>
        <sz val="11"/>
        <rFont val="Century Gothic"/>
        <family val="2"/>
      </rPr>
      <t xml:space="preserve"> Percent of Ohioans, ages 18 and older, who are treated worse than other races at work in the past year (2022)</t>
    </r>
  </si>
  <si>
    <t>Number of people incarcerated in Ohio Department of Rehabilitation and Corrections (ODRC) prisons for fiscal year 2023, per 100,000 population. Some, but very few, people incarcerated in ODRC prisons are under the age of 18.</t>
  </si>
  <si>
    <t>Number of people arrested, all ages, per 100,000 population. The data source for this indicator, the Ohio Incident-Based Reporting System, is a voluntary reporting system. In 2022, law enforcement agencies with jurisdictions over about 93.7% of Ohio's population reported to this system. Therefore, population estimates for each group were multiplied by 93.7% before calculating the arrest rate.</t>
  </si>
  <si>
    <t xml:space="preserve">Percent of students who did not enroll in a 2- or 4-year college for at least 60 days within two years of when their cohort graduated from high school. For example, data for 2022 includes data for the 2020 graduation cohort, or those students who entered 9th grade in the 2016-2017 school year. Because the graduation date for each student in the graduation cohort is unique (i.e., students may graduate early, on time, or late), a college enrollment deadline of Sept. 30 two years after the 4-year cohort graduation year is used to allow students to graduate over the summer and enroll in college in the fall. </t>
  </si>
  <si>
    <t xml:space="preserve">Percent of Ohioans, ages 18 and older, who have experienced physical symptoms as a result of treatment due to race in the past 30 days. Physical symptoms include a headache, an upset stomach, muscle tension, or a pounding heart. </t>
  </si>
  <si>
    <t>Asian/white</t>
  </si>
  <si>
    <t>Number of Asian Ohioans impacted if disparity eliminated</t>
  </si>
  <si>
    <t>Centers for Disease Control and Prevention, Behavioral Risk Factor Surveillance System</t>
  </si>
  <si>
    <t>Centers for Disease Control and Prevention, Behavioral Risk Factor Surveillance System, as compiled by The Commonwealth Fund</t>
  </si>
  <si>
    <t>Centers for Disease Control and Prevention, National Center for Immunization and Respiratory Diseases (NCIRD), FluVaxView</t>
  </si>
  <si>
    <t xml:space="preserve">Ohio Department of Education and Workforce: State Details 2022-2023 School Report Cards Excel table </t>
  </si>
  <si>
    <t>U.S. Census Bureau, 2022 American Community Survey 5-year estimates - Tables B17001A, B17001B, B17001D and B17001I</t>
  </si>
  <si>
    <t>U.S. Census Bureau, 2022 American Community Survey 5-year estimates - Tables S2301</t>
  </si>
  <si>
    <t>Ohio Department of Education and Workforce, College Readiness Data including college enrollment data from the National Student Clearinghouse</t>
  </si>
  <si>
    <t>U.S. Census Bureau, 2022 American Community Survey 5-year estimates - Table S2301</t>
  </si>
  <si>
    <t>Integrated Public Use Microdata Series, IPUMS USA, University of Minnesota, 2020 American Community Survey 5-year sample, as compiled by National Equity Atlas</t>
  </si>
  <si>
    <t>Analysis of Centers for Disease Control and Prevention, Behavioral Risk Factor Surveillance System  by HPIO, data provided by the Ohio Department of Health upon request</t>
  </si>
  <si>
    <t>Black, non-Hispanic; Hispanic; White, non-Hispanic; Asian, non-Hispanic</t>
  </si>
  <si>
    <t>Asian American; Black; Latino; White</t>
  </si>
  <si>
    <r>
      <rPr>
        <b/>
        <sz val="11"/>
        <rFont val="Century Gothic"/>
        <family val="2"/>
      </rPr>
      <t xml:space="preserve">Adult depression. </t>
    </r>
    <r>
      <rPr>
        <sz val="11"/>
        <rFont val="Century Gothic"/>
        <family val="2"/>
      </rPr>
      <t>Percent of adults (age-adjusted) who have ever been told by a health professional that they have depression (2021)</t>
    </r>
  </si>
  <si>
    <r>
      <rPr>
        <b/>
        <sz val="11"/>
        <rFont val="Century Gothic"/>
        <family val="2"/>
      </rPr>
      <t xml:space="preserve">Adult diabetes. </t>
    </r>
    <r>
      <rPr>
        <sz val="11"/>
        <rFont val="Century Gothic"/>
        <family val="2"/>
      </rPr>
      <t>Percent of adults (age-adjusted) who have been told by a health professional that they have diabetes (2021)</t>
    </r>
  </si>
  <si>
    <r>
      <rPr>
        <b/>
        <sz val="11"/>
        <rFont val="Century Gothic"/>
        <family val="2"/>
      </rPr>
      <t xml:space="preserve">Unable to see doctor due to cost. </t>
    </r>
    <r>
      <rPr>
        <sz val="11"/>
        <rFont val="Century Gothic"/>
        <family val="2"/>
      </rPr>
      <t>Percent of adults (age-adjusted) who went without care because of cost in the past year (2021)</t>
    </r>
  </si>
  <si>
    <r>
      <rPr>
        <b/>
        <sz val="11"/>
        <rFont val="Century Gothic"/>
        <family val="2"/>
      </rPr>
      <t>Disconnected youth.</t>
    </r>
    <r>
      <rPr>
        <sz val="11"/>
        <rFont val="Century Gothic"/>
        <family val="2"/>
      </rPr>
      <t xml:space="preserve"> Percent of youth, ages 16-24, who are not working or in school. (2017-2021)</t>
    </r>
  </si>
  <si>
    <r>
      <rPr>
        <b/>
        <sz val="11"/>
        <rFont val="Century Gothic"/>
        <family val="2"/>
      </rPr>
      <t xml:space="preserve">Adverse childhood experiences. </t>
    </r>
    <r>
      <rPr>
        <sz val="11"/>
        <rFont val="Century Gothic"/>
        <family val="2"/>
      </rPr>
      <t>Percent of children who have experienced two or more adverse experiences (2021-2022)</t>
    </r>
  </si>
  <si>
    <r>
      <rPr>
        <b/>
        <sz val="11"/>
        <rFont val="Century Gothic"/>
        <family val="2"/>
      </rPr>
      <t>Child poverty.</t>
    </r>
    <r>
      <rPr>
        <sz val="11"/>
        <rFont val="Century Gothic"/>
        <family val="2"/>
      </rPr>
      <t xml:space="preserve"> Percent of people under age 18, in households with incomes below the federal poverty level (2022)</t>
    </r>
  </si>
  <si>
    <t>Percent of children who have experienced two or more adverse experiences (ACEs), among ten ACEs defined by the National Survey of Children's Health: "Somewhat often" or "very often" hard to get by on family income; parent or guardian divorced or separated; parent or guardian died; parent or guardian served time in jail; child saw or heard parents or adults slap, hit, kick or punch one another in the home; child was a victim of violence or witnessed violence in their neighborhood; child lived with anyone who was mentally ill, suicidal, or severely depressed; child lived with anyone who had a problem with alcohol or drugs; child treated or judged unfairly due to race/ethnicity; child treated or judged unfairly due to sexual orientation/gender identity; and child treated or judged unfairly because of a health condition or disability.</t>
  </si>
  <si>
    <t>Centers for Disease Control and Prevention, Behavioral Risk Factor Surveillance System via Disability and Health Data System</t>
  </si>
  <si>
    <t>U.S. Census Bureau, 2022 American Community Survey 5-year estimates - Table C18120</t>
  </si>
  <si>
    <t>U.S. Census Bureau, 2022 American Community Survey 1-year estimates - Table B18130</t>
  </si>
  <si>
    <t>Ohio Department of Education and Workforce, Student Attendance State Absenteeism and Attendance public data</t>
  </si>
  <si>
    <r>
      <rPr>
        <b/>
        <sz val="11"/>
        <rFont val="Century Gothic"/>
        <family val="2"/>
      </rPr>
      <t xml:space="preserve">Prenatal care. </t>
    </r>
    <r>
      <rPr>
        <sz val="11"/>
        <rFont val="Century Gothic"/>
        <family val="2"/>
      </rPr>
      <t>Percent of women who completed a pregnancy in the last 12 months and did not receive prenatal care in the first trimester (2022)</t>
    </r>
  </si>
  <si>
    <r>
      <rPr>
        <b/>
        <sz val="11"/>
        <rFont val="Century Gothic"/>
        <family val="2"/>
      </rPr>
      <t xml:space="preserve">Uninsured, adults. </t>
    </r>
    <r>
      <rPr>
        <sz val="11"/>
        <rFont val="Century Gothic"/>
        <family val="2"/>
      </rPr>
      <t>Percent of adults ages 19-64 who are uninsured in the state (2018-2022)</t>
    </r>
  </si>
  <si>
    <r>
      <rPr>
        <b/>
        <sz val="11"/>
        <rFont val="Century Gothic"/>
        <family val="2"/>
      </rPr>
      <t xml:space="preserve">Broadband internet access. </t>
    </r>
    <r>
      <rPr>
        <sz val="11"/>
        <rFont val="Century Gothic"/>
        <family val="2"/>
      </rPr>
      <t>Percent of people, ages 25 and over, who do not have broadband internet access (2018-2022)</t>
    </r>
  </si>
  <si>
    <r>
      <rPr>
        <b/>
        <sz val="11"/>
        <rFont val="Century Gothic"/>
        <family val="2"/>
      </rPr>
      <t>Child in a household with a person who smokes.</t>
    </r>
    <r>
      <rPr>
        <sz val="11"/>
        <rFont val="Century Gothic"/>
        <family val="2"/>
      </rPr>
      <t xml:space="preserve"> Percent of children, ages 0-17, who live in households where someone smokes (cigarettes, cigars or pipe tobacco) (2019-2022)</t>
    </r>
  </si>
  <si>
    <t>Analysis of Centers for Disease Control and Prevention, Behavioral Risk Factor Surveillance System by HPIO</t>
  </si>
  <si>
    <t>U.S Census Bureau, 2022 American Community Survey 5-year estimates - Table S2301</t>
  </si>
  <si>
    <t>U.S. Census Bureau, 2022 American Community Survey 5-year estimates - Table S2802</t>
  </si>
  <si>
    <r>
      <rPr>
        <b/>
        <sz val="11"/>
        <rFont val="Century Gothic"/>
        <family val="2"/>
      </rPr>
      <t>Excessive drinking.</t>
    </r>
    <r>
      <rPr>
        <sz val="11"/>
        <rFont val="Century Gothic"/>
        <family val="2"/>
      </rPr>
      <t xml:space="preserve"> Percent of adults that report either binge drinking, defined as consuming more than four (women) or five (men) alcoholic beverages on a single occasion in the past 30 days, or heavy drinking, defined as having 7 or more (women) or 14 or more (men) drinks per week (2021-2022)</t>
    </r>
  </si>
  <si>
    <r>
      <rPr>
        <b/>
        <sz val="11"/>
        <rFont val="Century Gothic"/>
        <family val="2"/>
      </rPr>
      <t>Physical inactivity.</t>
    </r>
    <r>
      <rPr>
        <sz val="11"/>
        <rFont val="Century Gothic"/>
        <family val="2"/>
      </rPr>
      <t xml:space="preserve"> Percent of adults, ages 18 and older, reporting no leisure time physical activity during the past 30 days.  (2021-2022)</t>
    </r>
  </si>
  <si>
    <r>
      <rPr>
        <b/>
        <sz val="11"/>
        <rFont val="Century Gothic"/>
        <family val="2"/>
      </rPr>
      <t xml:space="preserve">Adult smoking. </t>
    </r>
    <r>
      <rPr>
        <sz val="11"/>
        <rFont val="Century Gothic"/>
        <family val="2"/>
      </rPr>
      <t>Percent of adults, ages 18 and older, who currently smoke. (2021-2022)</t>
    </r>
  </si>
  <si>
    <r>
      <rPr>
        <b/>
        <sz val="11"/>
        <rFont val="Century Gothic"/>
        <family val="2"/>
      </rPr>
      <t>Adult depression.</t>
    </r>
    <r>
      <rPr>
        <sz val="11"/>
        <rFont val="Century Gothic"/>
        <family val="2"/>
      </rPr>
      <t xml:space="preserve"> Percent of adults who have ever been told by a health professional that they have depression.  (2021-2022)</t>
    </r>
  </si>
  <si>
    <r>
      <rPr>
        <b/>
        <sz val="11"/>
        <rFont val="Century Gothic"/>
        <family val="2"/>
      </rPr>
      <t>Adult diabetes.</t>
    </r>
    <r>
      <rPr>
        <sz val="11"/>
        <rFont val="Century Gothic"/>
        <family val="2"/>
      </rPr>
      <t xml:space="preserve"> Percent of adults who have ever been told by a health professional that they have diabetes. (2021-2022)</t>
    </r>
  </si>
  <si>
    <r>
      <rPr>
        <b/>
        <sz val="11"/>
        <rFont val="Century Gothic"/>
        <family val="2"/>
      </rPr>
      <t>Overall health status.</t>
    </r>
    <r>
      <rPr>
        <sz val="11"/>
        <rFont val="Century Gothic"/>
        <family val="2"/>
      </rPr>
      <t xml:space="preserve"> Percent of adults who report fair or poor health.  (2021-2022)</t>
    </r>
  </si>
  <si>
    <r>
      <rPr>
        <b/>
        <sz val="11"/>
        <rFont val="Century Gothic"/>
        <family val="2"/>
      </rPr>
      <t>Youth all-tobacco use.</t>
    </r>
    <r>
      <rPr>
        <sz val="11"/>
        <rFont val="Century Gothic"/>
        <family val="2"/>
      </rPr>
      <t xml:space="preserve"> Percent of high school youth, ages 12-17, who used cigarettes, smokeless tobacco or cigars during the past 30 days (does not include e-cigarettes) (2021)</t>
    </r>
  </si>
  <si>
    <r>
      <rPr>
        <b/>
        <sz val="11"/>
        <rFont val="Century Gothic"/>
        <family val="2"/>
      </rPr>
      <t xml:space="preserve">Experiences with physical bullying. </t>
    </r>
    <r>
      <rPr>
        <sz val="11"/>
        <rFont val="Century Gothic"/>
        <family val="2"/>
      </rPr>
      <t>Percent of high school youth who reported being bullied at school (2021)</t>
    </r>
  </si>
  <si>
    <r>
      <rPr>
        <b/>
        <sz val="11"/>
        <rFont val="Century Gothic"/>
        <family val="2"/>
      </rPr>
      <t xml:space="preserve">Experiences with online bullying. </t>
    </r>
    <r>
      <rPr>
        <sz val="11"/>
        <rFont val="Century Gothic"/>
        <family val="2"/>
      </rPr>
      <t>Percent of high school youth who reported being bullied online (2021)</t>
    </r>
  </si>
  <si>
    <r>
      <rPr>
        <b/>
        <sz val="11"/>
        <rFont val="Century Gothic"/>
        <family val="2"/>
      </rPr>
      <t>Youth mental health.</t>
    </r>
    <r>
      <rPr>
        <sz val="11"/>
        <rFont val="Century Gothic"/>
        <family val="2"/>
      </rPr>
      <t xml:space="preserve"> Percent of high school youth who reported feeling sad or hopeless almost everyday for two or more weeks in a row during the past 12 months (2021)</t>
    </r>
  </si>
  <si>
    <r>
      <rPr>
        <b/>
        <sz val="11"/>
        <rFont val="Century Gothic"/>
        <family val="2"/>
      </rPr>
      <t>Youth binge drinking.</t>
    </r>
    <r>
      <rPr>
        <sz val="11"/>
        <rFont val="Century Gothic"/>
        <family val="2"/>
      </rPr>
      <t xml:space="preserve"> Percent of high school youth that report binge drinking, defined as consuming more than four (women) or five (men) alcoholic beverages on a single occasion in the past 30 days (2021)</t>
    </r>
  </si>
  <si>
    <r>
      <rPr>
        <b/>
        <sz val="11"/>
        <rFont val="Century Gothic"/>
        <family val="2"/>
      </rPr>
      <t>Youth considering suicide.</t>
    </r>
    <r>
      <rPr>
        <sz val="11"/>
        <rFont val="Century Gothic"/>
        <family val="2"/>
      </rPr>
      <t xml:space="preserve"> Percent of youth who reported seriously considering attempting suicide in the past 12 months (2021)</t>
    </r>
  </si>
  <si>
    <r>
      <rPr>
        <b/>
        <sz val="11"/>
        <rFont val="Century Gothic"/>
        <family val="2"/>
      </rPr>
      <t>Youth suicide attempt.</t>
    </r>
    <r>
      <rPr>
        <sz val="11"/>
        <rFont val="Century Gothic"/>
        <family val="2"/>
      </rPr>
      <t xml:space="preserve"> Percent of youth who reported attempting suicide in the past 12 months (2021)</t>
    </r>
  </si>
  <si>
    <t>Analysis of Centers for Disease Control and Prevention, Behavioral Risk Factor Surveillance System  by HPIO</t>
  </si>
  <si>
    <t>Percent of high school youth who reported being bullied through texting, Instagram, Facebook, or other social media in the past 12 months.</t>
  </si>
  <si>
    <t>Percent of high school youth who reported being bullied on school property in the past 12 months.</t>
  </si>
  <si>
    <t>Percent of people, ages 6 months and older, who did not receive a flu vaccination during the flu season.</t>
  </si>
  <si>
    <r>
      <rPr>
        <b/>
        <sz val="11"/>
        <rFont val="Century Gothic"/>
        <family val="2"/>
      </rPr>
      <t>Physical symptoms as a result of experiences of racism.</t>
    </r>
    <r>
      <rPr>
        <sz val="11"/>
        <rFont val="Century Gothic"/>
        <family val="2"/>
      </rPr>
      <t xml:space="preserve"> Percent of Ohioans, ages 18 and older, who have experienced physical symptoms as a result of treatment due to race in the past 30 days (2022)</t>
    </r>
  </si>
  <si>
    <r>
      <rPr>
        <b/>
        <sz val="11"/>
        <rFont val="Century Gothic"/>
        <family val="2"/>
      </rPr>
      <t>Unfair treatment due to race, children.</t>
    </r>
    <r>
      <rPr>
        <sz val="11"/>
        <rFont val="Century Gothic"/>
        <family val="2"/>
      </rPr>
      <t xml:space="preserve"> Percent of children who have ever been treated or judged unfairly because of his or her race or ethnic group (2018-2021)</t>
    </r>
  </si>
  <si>
    <r>
      <rPr>
        <b/>
        <sz val="11"/>
        <rFont val="Century Gothic"/>
        <family val="2"/>
      </rPr>
      <t xml:space="preserve">Food insecurity, children. </t>
    </r>
    <r>
      <rPr>
        <sz val="11"/>
        <rFont val="Century Gothic"/>
        <family val="2"/>
      </rPr>
      <t>Percent of children in families who could sometimes or often not afford enough to eat (2019-2022)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</si>
</sst>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entury Gothic"/>
      <family val="2"/>
    </font>
    <font>
      <sz val="11"/>
      <color theme="1"/>
      <name val="Calibri"/>
      <family val="2"/>
      <scheme val="minor"/>
    </font>
    <font>
      <sz val="11"/>
      <color theme="1"/>
      <name val="Century Gothic"/>
      <family val="2"/>
    </font>
    <font>
      <b/>
      <sz val="11"/>
      <color theme="0"/>
      <name val="Century Gothic"/>
      <family val="2"/>
    </font>
    <font>
      <b/>
      <sz val="11"/>
      <color theme="1"/>
      <name val="Century Gothic"/>
      <family val="2"/>
    </font>
    <font>
      <sz val="11"/>
      <color theme="0"/>
      <name val="Century Gothic"/>
      <family val="2"/>
    </font>
    <font>
      <b/>
      <sz val="14"/>
      <color theme="0"/>
      <name val="Century Gothic"/>
      <family val="2"/>
    </font>
    <font>
      <sz val="11"/>
      <color rgb="FF000000"/>
      <name val="Century Gothic"/>
      <family val="2"/>
    </font>
    <font>
      <sz val="11"/>
      <name val="Century Gothic"/>
      <family val="2"/>
    </font>
    <font>
      <b/>
      <sz val="11"/>
      <name val="Century Gothic"/>
      <family val="2"/>
    </font>
    <font>
      <sz val="11"/>
      <color theme="0"/>
      <name val="Century Gothic"/>
      <family val="1"/>
    </font>
    <font>
      <b/>
      <sz val="11"/>
      <color theme="0"/>
      <name val="Century Gothic"/>
      <family val="1"/>
    </font>
    <font>
      <sz val="11"/>
      <color theme="1"/>
      <name val="Century Gothic"/>
      <family val="2"/>
    </font>
    <font>
      <b/>
      <sz val="14"/>
      <color theme="0"/>
      <name val="Century Gothic"/>
      <family val="1"/>
    </font>
    <font>
      <sz val="14"/>
      <color theme="1"/>
      <name val="Century Gothic"/>
      <family val="1"/>
    </font>
    <font>
      <b/>
      <i/>
      <sz val="11"/>
      <color theme="1"/>
      <name val="Century Gothic"/>
      <family val="2"/>
    </font>
  </fonts>
  <fills count="11">
    <fill>
      <patternFill patternType="none"/>
    </fill>
    <fill>
      <patternFill patternType="gray125"/>
    </fill>
    <fill>
      <patternFill patternType="solid">
        <fgColor rgb="FFFF9999"/>
        <bgColor indexed="64"/>
      </patternFill>
    </fill>
    <fill>
      <patternFill patternType="solid">
        <fgColor rgb="FFFF5050"/>
        <bgColor indexed="64"/>
      </patternFill>
    </fill>
    <fill>
      <patternFill patternType="solid">
        <fgColor rgb="FFCC0000"/>
        <bgColor indexed="64"/>
      </patternFill>
    </fill>
    <fill>
      <patternFill patternType="solid">
        <fgColor rgb="FF5E82AB"/>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9" fontId="2" fillId="0" borderId="0" applyFont="0" applyFill="0" applyBorder="0" applyAlignment="0" applyProtection="0"/>
    <xf numFmtId="0" fontId="1" fillId="0" borderId="0"/>
  </cellStyleXfs>
  <cellXfs count="80">
    <xf numFmtId="0" fontId="0" fillId="0" borderId="0" xfId="0"/>
    <xf numFmtId="0" fontId="0" fillId="0" borderId="0" xfId="0" applyAlignment="1">
      <alignment wrapText="1"/>
    </xf>
    <xf numFmtId="0" fontId="0" fillId="0" borderId="0" xfId="0" applyAlignment="1">
      <alignment vertical="top"/>
    </xf>
    <xf numFmtId="0" fontId="3" fillId="5" borderId="1" xfId="0" applyFont="1" applyFill="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65" fontId="0" fillId="0" borderId="1" xfId="0" applyNumberFormat="1" applyBorder="1"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0" fillId="0" borderId="1" xfId="0" applyBorder="1"/>
    <xf numFmtId="0" fontId="2" fillId="0" borderId="1" xfId="0" applyFont="1" applyBorder="1" applyAlignment="1">
      <alignment horizontal="left" vertical="top" wrapText="1"/>
    </xf>
    <xf numFmtId="0" fontId="0" fillId="0" borderId="1" xfId="0" applyBorder="1" applyAlignment="1">
      <alignment wrapText="1"/>
    </xf>
    <xf numFmtId="0" fontId="7" fillId="0" borderId="1"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8" fillId="0" borderId="1" xfId="0" applyFont="1" applyBorder="1" applyAlignment="1">
      <alignment horizontal="left" vertical="top" wrapText="1"/>
    </xf>
    <xf numFmtId="0" fontId="0" fillId="8" borderId="1" xfId="0" applyFill="1" applyBorder="1" applyAlignment="1">
      <alignment horizontal="left" vertical="top" wrapText="1"/>
    </xf>
    <xf numFmtId="0" fontId="6" fillId="5" borderId="1" xfId="0" applyFont="1" applyFill="1" applyBorder="1" applyAlignment="1">
      <alignment horizontal="left" vertical="top" wrapText="1"/>
    </xf>
    <xf numFmtId="165" fontId="8" fillId="0" borderId="1" xfId="0" applyNumberFormat="1" applyFont="1" applyBorder="1" applyAlignment="1">
      <alignment horizontal="left" vertical="top" wrapText="1"/>
    </xf>
    <xf numFmtId="3" fontId="0" fillId="0" borderId="1" xfId="0" applyNumberFormat="1" applyBorder="1" applyAlignment="1">
      <alignment horizontal="left" vertical="top" wrapText="1"/>
    </xf>
    <xf numFmtId="164" fontId="8" fillId="6" borderId="1" xfId="0" applyNumberFormat="1" applyFont="1" applyFill="1" applyBorder="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Border="1" applyAlignment="1">
      <alignment horizontal="left" vertical="top" wrapText="1"/>
    </xf>
    <xf numFmtId="3" fontId="0" fillId="0" borderId="0" xfId="0" applyNumberForma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165" fontId="0" fillId="0" borderId="0" xfId="0" applyNumberFormat="1" applyAlignment="1">
      <alignment horizontal="left" vertical="top" wrapText="1"/>
    </xf>
    <xf numFmtId="0" fontId="0" fillId="7" borderId="7" xfId="0" applyFill="1" applyBorder="1"/>
    <xf numFmtId="0" fontId="0" fillId="7" borderId="0" xfId="0" applyFill="1"/>
    <xf numFmtId="0" fontId="0" fillId="0" borderId="8" xfId="0" applyBorder="1"/>
    <xf numFmtId="0" fontId="5" fillId="2" borderId="7" xfId="0" applyFont="1" applyFill="1" applyBorder="1"/>
    <xf numFmtId="0" fontId="5" fillId="3" borderId="7" xfId="0" applyFont="1" applyFill="1" applyBorder="1"/>
    <xf numFmtId="0" fontId="5" fillId="4" borderId="7" xfId="0" applyFont="1" applyFill="1" applyBorder="1"/>
    <xf numFmtId="0" fontId="8" fillId="0" borderId="7" xfId="0" applyFont="1" applyBorder="1" applyAlignment="1">
      <alignment vertical="top"/>
    </xf>
    <xf numFmtId="0" fontId="0" fillId="0" borderId="8" xfId="0" applyBorder="1" applyAlignment="1">
      <alignment vertical="top"/>
    </xf>
    <xf numFmtId="0" fontId="0" fillId="0" borderId="7" xfId="0" applyBorder="1" applyAlignment="1">
      <alignment vertical="top"/>
    </xf>
    <xf numFmtId="1" fontId="2" fillId="0" borderId="1" xfId="0" applyNumberFormat="1" applyFont="1" applyBorder="1" applyAlignment="1">
      <alignment horizontal="left" vertical="top" wrapText="1"/>
    </xf>
    <xf numFmtId="165" fontId="8" fillId="0" borderId="1" xfId="1" applyNumberFormat="1" applyFont="1" applyFill="1" applyBorder="1" applyAlignment="1">
      <alignment horizontal="left" vertical="top" wrapText="1"/>
    </xf>
    <xf numFmtId="3" fontId="8" fillId="0" borderId="1" xfId="0" applyNumberFormat="1" applyFont="1" applyBorder="1" applyAlignment="1">
      <alignment horizontal="left" vertical="top" wrapText="1"/>
    </xf>
    <xf numFmtId="0" fontId="8" fillId="9" borderId="1"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0" fontId="0" fillId="0" borderId="1" xfId="0" applyNumberFormat="1" applyBorder="1" applyAlignment="1">
      <alignment horizontal="left" vertical="top" wrapText="1"/>
    </xf>
    <xf numFmtId="2" fontId="0" fillId="0" borderId="1" xfId="0" applyNumberFormat="1" applyBorder="1" applyAlignment="1">
      <alignment horizontal="left" vertical="top" wrapText="1"/>
    </xf>
    <xf numFmtId="165" fontId="0" fillId="0" borderId="1" xfId="1" applyNumberFormat="1" applyFont="1" applyBorder="1" applyAlignment="1">
      <alignment horizontal="left" vertical="top"/>
    </xf>
    <xf numFmtId="1" fontId="0" fillId="0" borderId="1" xfId="1" applyNumberFormat="1" applyFont="1" applyBorder="1" applyAlignment="1">
      <alignment horizontal="left" vertical="top" wrapText="1"/>
    </xf>
    <xf numFmtId="165" fontId="8" fillId="0" borderId="1" xfId="0" applyNumberFormat="1" applyFont="1" applyBorder="1" applyAlignment="1">
      <alignment horizontal="left" vertical="top"/>
    </xf>
    <xf numFmtId="165" fontId="8" fillId="0" borderId="1" xfId="1" applyNumberFormat="1" applyFont="1" applyBorder="1" applyAlignment="1">
      <alignment horizontal="left" vertical="top"/>
    </xf>
    <xf numFmtId="10" fontId="7" fillId="0" borderId="1" xfId="0" applyNumberFormat="1" applyFont="1" applyBorder="1" applyAlignment="1">
      <alignment horizontal="left" vertical="top"/>
    </xf>
    <xf numFmtId="9" fontId="7" fillId="0" borderId="1" xfId="0" applyNumberFormat="1" applyFont="1" applyBorder="1" applyAlignment="1">
      <alignment horizontal="left" vertical="top"/>
    </xf>
    <xf numFmtId="165" fontId="7" fillId="0" borderId="1" xfId="0" applyNumberFormat="1" applyFont="1" applyBorder="1" applyAlignment="1">
      <alignment horizontal="left" vertical="top"/>
    </xf>
    <xf numFmtId="164" fontId="0" fillId="10" borderId="1" xfId="0" applyNumberFormat="1" applyFill="1" applyBorder="1" applyAlignment="1">
      <alignment horizontal="left" vertical="top" wrapText="1"/>
    </xf>
    <xf numFmtId="0" fontId="13" fillId="5" borderId="5" xfId="0" applyFont="1" applyFill="1" applyBorder="1" applyAlignment="1">
      <alignment horizontal="left" vertical="top" wrapText="1"/>
    </xf>
    <xf numFmtId="0" fontId="2" fillId="9" borderId="1" xfId="0" applyFont="1" applyFill="1" applyBorder="1" applyAlignment="1">
      <alignment horizontal="left" vertical="top" wrapText="1"/>
    </xf>
    <xf numFmtId="165" fontId="8" fillId="9" borderId="1" xfId="0" applyNumberFormat="1" applyFont="1" applyFill="1" applyBorder="1" applyAlignment="1">
      <alignment horizontal="left" vertical="top" wrapText="1"/>
    </xf>
    <xf numFmtId="0" fontId="8" fillId="9" borderId="1" xfId="0" applyFont="1" applyFill="1" applyBorder="1" applyAlignment="1">
      <alignment wrapText="1"/>
    </xf>
    <xf numFmtId="165" fontId="0" fillId="0" borderId="1" xfId="1" applyNumberFormat="1" applyFont="1" applyFill="1" applyBorder="1" applyAlignment="1">
      <alignment horizontal="left" vertical="top"/>
    </xf>
    <xf numFmtId="165" fontId="0" fillId="0" borderId="1" xfId="0" applyNumberFormat="1" applyBorder="1" applyAlignment="1">
      <alignment horizontal="left" vertical="top"/>
    </xf>
    <xf numFmtId="0" fontId="8" fillId="9" borderId="1" xfId="0" applyFont="1" applyFill="1" applyBorder="1" applyAlignment="1">
      <alignment vertical="top" wrapText="1"/>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0" xfId="0" applyFont="1" applyAlignment="1">
      <alignment horizontal="left" vertical="top" wrapText="1"/>
    </xf>
    <xf numFmtId="0" fontId="6" fillId="5" borderId="1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6" xfId="0" applyFont="1" applyFill="1" applyBorder="1" applyAlignment="1">
      <alignment horizontal="left" vertical="top" wrapText="1"/>
    </xf>
    <xf numFmtId="0" fontId="13" fillId="5" borderId="1" xfId="0" applyFont="1" applyFill="1" applyBorder="1" applyAlignment="1">
      <alignment horizontal="left" vertical="top" wrapText="1"/>
    </xf>
    <xf numFmtId="0" fontId="13" fillId="5" borderId="5" xfId="0" applyFont="1" applyFill="1" applyBorder="1" applyAlignment="1">
      <alignment horizontal="center" vertical="top" wrapText="1"/>
    </xf>
    <xf numFmtId="0" fontId="13" fillId="5" borderId="4" xfId="0" applyFont="1" applyFill="1" applyBorder="1" applyAlignment="1">
      <alignment horizontal="center" vertical="top" wrapText="1"/>
    </xf>
    <xf numFmtId="0" fontId="13" fillId="5" borderId="2" xfId="0" applyFont="1" applyFill="1" applyBorder="1" applyAlignment="1">
      <alignment horizontal="center" vertical="top" wrapText="1"/>
    </xf>
    <xf numFmtId="0" fontId="6" fillId="5" borderId="1" xfId="0" applyFont="1" applyFill="1" applyBorder="1" applyAlignment="1">
      <alignment horizontal="left" vertical="top" wrapText="1"/>
    </xf>
    <xf numFmtId="0" fontId="0" fillId="0" borderId="0" xfId="0" applyAlignment="1">
      <alignment horizontal="left" vertical="top" wrapText="1"/>
    </xf>
    <xf numFmtId="0" fontId="6" fillId="5" borderId="5"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2" xfId="0" applyFont="1" applyFill="1" applyBorder="1" applyAlignment="1">
      <alignment horizontal="left" vertical="top" wrapText="1"/>
    </xf>
  </cellXfs>
  <cellStyles count="3">
    <cellStyle name="Normal" xfId="0" builtinId="0"/>
    <cellStyle name="Normal 3" xfId="2" xr:uid="{81822CEF-A6E4-4607-AA1A-539F32014B18}"/>
    <cellStyle name="Percent" xfId="1" builtinId="5"/>
  </cellStyles>
  <dxfs count="21">
    <dxf>
      <fill>
        <patternFill>
          <bgColor rgb="FFFFCCCC"/>
        </patternFill>
      </fill>
    </dxf>
    <dxf>
      <fill>
        <patternFill>
          <bgColor rgb="FFFF7C80"/>
        </patternFill>
      </fill>
    </dxf>
    <dxf>
      <font>
        <color theme="0"/>
      </font>
      <fill>
        <patternFill>
          <bgColor rgb="FFA50021"/>
        </patternFill>
      </fill>
    </dxf>
    <dxf>
      <font>
        <color auto="1"/>
      </font>
      <fill>
        <patternFill>
          <bgColor theme="0"/>
        </patternFill>
      </fill>
    </dxf>
    <dxf>
      <fill>
        <patternFill>
          <bgColor rgb="FFFFCCCC"/>
        </patternFill>
      </fill>
    </dxf>
    <dxf>
      <fill>
        <patternFill>
          <bgColor rgb="FFFF7C80"/>
        </patternFill>
      </fill>
    </dxf>
    <dxf>
      <font>
        <color theme="0"/>
      </font>
      <fill>
        <patternFill>
          <bgColor rgb="FFA50021"/>
        </patternFill>
      </fill>
    </dxf>
    <dxf>
      <font>
        <color auto="1"/>
      </font>
      <fill>
        <patternFill>
          <bgColor theme="0"/>
        </patternFill>
      </fill>
    </dxf>
    <dxf>
      <fill>
        <patternFill>
          <bgColor rgb="FFFFCCCC"/>
        </patternFill>
      </fill>
    </dxf>
    <dxf>
      <fill>
        <patternFill>
          <bgColor rgb="FFFF7C80"/>
        </patternFill>
      </fill>
    </dxf>
    <dxf>
      <font>
        <color theme="0"/>
      </font>
      <fill>
        <patternFill>
          <bgColor rgb="FFA50021"/>
        </patternFill>
      </fill>
    </dxf>
    <dxf>
      <font>
        <color auto="1"/>
      </font>
      <fill>
        <patternFill patternType="none">
          <bgColor auto="1"/>
        </patternFill>
      </fill>
    </dxf>
    <dxf>
      <fill>
        <patternFill>
          <bgColor rgb="FFFFCCCC"/>
        </patternFill>
      </fill>
    </dxf>
    <dxf>
      <fill>
        <patternFill>
          <bgColor rgb="FFFF5050"/>
        </patternFill>
      </fill>
    </dxf>
    <dxf>
      <font>
        <color theme="0"/>
      </font>
      <fill>
        <patternFill>
          <bgColor rgb="FFA50021"/>
        </patternFill>
      </fill>
    </dxf>
    <dxf>
      <fill>
        <patternFill>
          <bgColor rgb="FFFFCCCC"/>
        </patternFill>
      </fill>
    </dxf>
    <dxf>
      <fill>
        <patternFill>
          <bgColor rgb="FFFF5050"/>
        </patternFill>
      </fill>
    </dxf>
    <dxf>
      <font>
        <color theme="0"/>
      </font>
      <fill>
        <patternFill>
          <bgColor rgb="FFA50021"/>
        </patternFill>
      </fill>
    </dxf>
    <dxf>
      <fill>
        <patternFill>
          <bgColor rgb="FFFFCCCC"/>
        </patternFill>
      </fill>
    </dxf>
    <dxf>
      <fill>
        <patternFill>
          <bgColor rgb="FFFF5050"/>
        </patternFill>
      </fill>
    </dxf>
    <dxf>
      <font>
        <color theme="0"/>
      </font>
      <fill>
        <patternFill>
          <bgColor rgb="FFA50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326F-8C9E-4B96-B47F-5D532CA0B12E}">
  <dimension ref="A1:O44"/>
  <sheetViews>
    <sheetView tabSelected="1" topLeftCell="A3" zoomScaleNormal="100" workbookViewId="0">
      <pane xSplit="2" topLeftCell="C1" activePane="topRight" state="frozen"/>
      <selection activeCell="B2" sqref="B2"/>
      <selection pane="topRight" activeCell="N23" sqref="N23"/>
    </sheetView>
  </sheetViews>
  <sheetFormatPr defaultColWidth="9" defaultRowHeight="13.8" x14ac:dyDescent="0.25"/>
  <cols>
    <col min="1" max="1" width="16.8984375" style="22" customWidth="1"/>
    <col min="2" max="2" width="43.69921875" style="22" customWidth="1"/>
    <col min="3" max="3" width="69.19921875" style="22" customWidth="1"/>
    <col min="4" max="4" width="13.69921875" style="22" customWidth="1"/>
    <col min="5" max="7" width="14" style="22" customWidth="1"/>
    <col min="8" max="10" width="16.69921875" style="22" customWidth="1"/>
    <col min="11" max="13" width="15.69921875" style="22" customWidth="1"/>
    <col min="14" max="15" width="68.19921875" style="22" customWidth="1"/>
    <col min="16" max="16380" width="9" style="22"/>
    <col min="16381" max="16381" width="9" style="22" bestFit="1"/>
    <col min="16382" max="16384" width="9" style="22"/>
  </cols>
  <sheetData>
    <row r="1" spans="1:15" customFormat="1" ht="13.95" customHeight="1" x14ac:dyDescent="0.25">
      <c r="A1" s="67" t="s">
        <v>0</v>
      </c>
      <c r="B1" s="67"/>
      <c r="C1" s="67"/>
    </row>
    <row r="2" spans="1:15" customFormat="1" ht="13.95" customHeight="1" x14ac:dyDescent="0.25">
      <c r="A2" s="67" t="s">
        <v>162</v>
      </c>
      <c r="B2" s="67"/>
      <c r="C2" s="67"/>
    </row>
    <row r="3" spans="1:15" customFormat="1" x14ac:dyDescent="0.25"/>
    <row r="4" spans="1:15" customFormat="1" ht="17.399999999999999" x14ac:dyDescent="0.25">
      <c r="A4" s="68" t="s">
        <v>1</v>
      </c>
      <c r="B4" s="69"/>
      <c r="C4" s="70"/>
    </row>
    <row r="5" spans="1:15" customFormat="1" x14ac:dyDescent="0.25">
      <c r="A5" s="32" t="s">
        <v>2</v>
      </c>
      <c r="B5" s="62" t="s">
        <v>3</v>
      </c>
      <c r="C5" s="63"/>
      <c r="D5" s="2"/>
      <c r="E5" s="2"/>
    </row>
    <row r="6" spans="1:15" customFormat="1" x14ac:dyDescent="0.25">
      <c r="A6" s="33" t="s">
        <v>4</v>
      </c>
      <c r="B6" s="62" t="s">
        <v>5</v>
      </c>
      <c r="C6" s="63"/>
      <c r="D6" s="2"/>
      <c r="E6" s="2"/>
    </row>
    <row r="7" spans="1:15" customFormat="1" x14ac:dyDescent="0.25">
      <c r="A7" s="34" t="s">
        <v>6</v>
      </c>
      <c r="B7" s="62" t="s">
        <v>7</v>
      </c>
      <c r="C7" s="63"/>
      <c r="D7" s="2"/>
      <c r="E7" s="2"/>
    </row>
    <row r="8" spans="1:15" customFormat="1" x14ac:dyDescent="0.25">
      <c r="A8" s="35" t="s">
        <v>8</v>
      </c>
      <c r="B8" s="62" t="s">
        <v>9</v>
      </c>
      <c r="C8" s="63"/>
      <c r="D8" s="2"/>
      <c r="E8" s="2"/>
    </row>
    <row r="9" spans="1:15" customFormat="1" ht="13.95" customHeight="1" x14ac:dyDescent="0.25">
      <c r="A9" s="37" t="s">
        <v>10</v>
      </c>
      <c r="B9" s="36"/>
      <c r="C9" s="36"/>
      <c r="D9" s="7"/>
      <c r="E9" s="2"/>
    </row>
    <row r="10" spans="1:15" customFormat="1" ht="93.6" customHeight="1" x14ac:dyDescent="0.25">
      <c r="A10" s="64" t="s">
        <v>11</v>
      </c>
      <c r="B10" s="65"/>
      <c r="C10" s="66"/>
      <c r="D10" s="2"/>
      <c r="E10" s="2"/>
    </row>
    <row r="12" spans="1:15" s="23" customFormat="1" ht="17.399999999999999" customHeight="1" x14ac:dyDescent="0.25">
      <c r="A12" s="71" t="s">
        <v>12</v>
      </c>
      <c r="B12" s="71"/>
      <c r="C12" s="71"/>
      <c r="D12" s="71" t="s">
        <v>13</v>
      </c>
      <c r="E12" s="71"/>
      <c r="F12" s="71"/>
      <c r="G12" s="71"/>
      <c r="H12" s="71" t="s">
        <v>14</v>
      </c>
      <c r="I12" s="71"/>
      <c r="J12" s="55"/>
      <c r="K12" s="72" t="s">
        <v>15</v>
      </c>
      <c r="L12" s="73"/>
      <c r="M12" s="74"/>
      <c r="N12" s="71" t="s">
        <v>16</v>
      </c>
      <c r="O12" s="71"/>
    </row>
    <row r="13" spans="1:15" ht="82.8" x14ac:dyDescent="0.25">
      <c r="A13" s="3" t="s">
        <v>17</v>
      </c>
      <c r="B13" s="3" t="s">
        <v>18</v>
      </c>
      <c r="C13" s="3" t="s">
        <v>19</v>
      </c>
      <c r="D13" s="3" t="s">
        <v>20</v>
      </c>
      <c r="E13" s="3" t="s">
        <v>21</v>
      </c>
      <c r="F13" s="3" t="s">
        <v>22</v>
      </c>
      <c r="G13" s="3" t="s">
        <v>23</v>
      </c>
      <c r="H13" s="3" t="s">
        <v>24</v>
      </c>
      <c r="I13" s="3" t="s">
        <v>25</v>
      </c>
      <c r="J13" s="3" t="s">
        <v>194</v>
      </c>
      <c r="K13" s="3" t="s">
        <v>26</v>
      </c>
      <c r="L13" s="3" t="s">
        <v>27</v>
      </c>
      <c r="M13" s="3" t="s">
        <v>195</v>
      </c>
      <c r="N13" s="3" t="s">
        <v>28</v>
      </c>
      <c r="O13" s="3" t="s">
        <v>29</v>
      </c>
    </row>
    <row r="14" spans="1:15" s="7" customFormat="1" ht="27.6" x14ac:dyDescent="0.25">
      <c r="A14" s="4" t="s">
        <v>30</v>
      </c>
      <c r="B14" s="16" t="s">
        <v>168</v>
      </c>
      <c r="C14" s="4" t="s">
        <v>31</v>
      </c>
      <c r="D14" s="4">
        <v>5.0999999999999996</v>
      </c>
      <c r="E14" s="4">
        <v>13.6</v>
      </c>
      <c r="F14" s="4">
        <v>5.2</v>
      </c>
      <c r="G14" s="4">
        <v>4.0999999999999996</v>
      </c>
      <c r="H14" s="5">
        <f>E14/D14</f>
        <v>2.666666666666667</v>
      </c>
      <c r="I14" s="5">
        <f>F14/D14</f>
        <v>1.0196078431372551</v>
      </c>
      <c r="J14" s="54">
        <f>G14/D14</f>
        <v>0.80392156862745101</v>
      </c>
      <c r="K14" s="20">
        <v>203.49850000000001</v>
      </c>
      <c r="L14" s="20">
        <v>0.76720000000000255</v>
      </c>
      <c r="M14" s="20" t="s">
        <v>8</v>
      </c>
      <c r="N14" s="4" t="s">
        <v>32</v>
      </c>
      <c r="O14" s="4" t="s">
        <v>33</v>
      </c>
    </row>
    <row r="15" spans="1:15" s="7" customFormat="1" ht="69" x14ac:dyDescent="0.25">
      <c r="A15" s="4" t="s">
        <v>30</v>
      </c>
      <c r="B15" s="16" t="s">
        <v>169</v>
      </c>
      <c r="C15" s="4" t="s">
        <v>34</v>
      </c>
      <c r="D15" s="5">
        <v>7758.4</v>
      </c>
      <c r="E15" s="5">
        <v>12203.5</v>
      </c>
      <c r="F15" s="5">
        <v>5241.7</v>
      </c>
      <c r="G15" s="5">
        <v>2800</v>
      </c>
      <c r="H15" s="5">
        <f t="shared" ref="H15:H44" si="0">E15/D15</f>
        <v>1.5729402969684472</v>
      </c>
      <c r="I15" s="5">
        <f t="shared" ref="I15:I41" si="1">F15/D15</f>
        <v>0.67561610641369352</v>
      </c>
      <c r="J15" s="54">
        <f t="shared" ref="J15:J41" si="2">G15/D15</f>
        <v>0.36089915446483811</v>
      </c>
      <c r="K15" s="20" t="s">
        <v>35</v>
      </c>
      <c r="L15" s="20" t="s">
        <v>8</v>
      </c>
      <c r="M15" s="20" t="s">
        <v>8</v>
      </c>
      <c r="N15" s="4" t="s">
        <v>36</v>
      </c>
      <c r="O15" s="4" t="s">
        <v>37</v>
      </c>
    </row>
    <row r="16" spans="1:15" s="7" customFormat="1" ht="41.4" x14ac:dyDescent="0.25">
      <c r="A16" s="4" t="s">
        <v>30</v>
      </c>
      <c r="B16" s="16" t="s">
        <v>164</v>
      </c>
      <c r="C16" s="4" t="s">
        <v>38</v>
      </c>
      <c r="D16" s="6">
        <v>0.128</v>
      </c>
      <c r="E16" s="6">
        <v>0.17499999999999999</v>
      </c>
      <c r="F16" s="6">
        <v>0.11700000000000001</v>
      </c>
      <c r="G16" s="6" t="s">
        <v>8</v>
      </c>
      <c r="H16" s="5">
        <f t="shared" si="0"/>
        <v>1.3671874999999998</v>
      </c>
      <c r="I16" s="5">
        <f t="shared" si="1"/>
        <v>0.9140625</v>
      </c>
      <c r="J16" s="20" t="s">
        <v>8</v>
      </c>
      <c r="K16" s="20">
        <v>49995</v>
      </c>
      <c r="L16" s="20" t="s">
        <v>8</v>
      </c>
      <c r="M16" s="20" t="s">
        <v>8</v>
      </c>
      <c r="N16" s="4" t="s">
        <v>196</v>
      </c>
      <c r="O16" s="4" t="s">
        <v>39</v>
      </c>
    </row>
    <row r="17" spans="1:15" s="7" customFormat="1" ht="41.4" x14ac:dyDescent="0.25">
      <c r="A17" s="4" t="s">
        <v>30</v>
      </c>
      <c r="B17" s="16" t="s">
        <v>170</v>
      </c>
      <c r="C17" s="4" t="s">
        <v>40</v>
      </c>
      <c r="D17" s="5">
        <v>195</v>
      </c>
      <c r="E17" s="5">
        <v>242.5</v>
      </c>
      <c r="F17" s="5">
        <v>90</v>
      </c>
      <c r="G17" s="4">
        <v>80.599999999999994</v>
      </c>
      <c r="H17" s="5">
        <f t="shared" si="0"/>
        <v>1.2435897435897436</v>
      </c>
      <c r="I17" s="5">
        <f t="shared" si="1"/>
        <v>0.46153846153846156</v>
      </c>
      <c r="J17" s="54">
        <f t="shared" si="2"/>
        <v>0.41333333333333333</v>
      </c>
      <c r="K17" s="20">
        <v>680.50685000000021</v>
      </c>
      <c r="L17" s="20" t="s">
        <v>8</v>
      </c>
      <c r="M17" s="20" t="s">
        <v>8</v>
      </c>
      <c r="N17" s="4" t="s">
        <v>41</v>
      </c>
      <c r="O17" s="4" t="s">
        <v>42</v>
      </c>
    </row>
    <row r="18" spans="1:15" s="7" customFormat="1" ht="55.2" x14ac:dyDescent="0.25">
      <c r="A18" s="4" t="s">
        <v>30</v>
      </c>
      <c r="B18" s="16" t="s">
        <v>171</v>
      </c>
      <c r="C18" s="4" t="s">
        <v>43</v>
      </c>
      <c r="D18" s="6">
        <v>0.115</v>
      </c>
      <c r="E18" s="6">
        <v>0.126</v>
      </c>
      <c r="F18" s="6">
        <v>7.1999999999999995E-2</v>
      </c>
      <c r="G18" s="6" t="s">
        <v>8</v>
      </c>
      <c r="H18" s="5">
        <f t="shared" si="0"/>
        <v>1.0956521739130434</v>
      </c>
      <c r="I18" s="5">
        <f t="shared" si="1"/>
        <v>0.62608695652173907</v>
      </c>
      <c r="J18" s="20" t="s">
        <v>8</v>
      </c>
      <c r="K18" s="20">
        <v>9810.0090000000055</v>
      </c>
      <c r="L18" s="20" t="s">
        <v>8</v>
      </c>
      <c r="M18" s="20" t="s">
        <v>8</v>
      </c>
      <c r="N18" s="4" t="s">
        <v>197</v>
      </c>
      <c r="O18" s="4" t="s">
        <v>44</v>
      </c>
    </row>
    <row r="19" spans="1:15" s="7" customFormat="1" ht="41.4" x14ac:dyDescent="0.25">
      <c r="A19" s="4" t="s">
        <v>30</v>
      </c>
      <c r="B19" s="16" t="s">
        <v>163</v>
      </c>
      <c r="C19" s="4" t="s">
        <v>45</v>
      </c>
      <c r="D19" s="6">
        <v>0.248</v>
      </c>
      <c r="E19" s="6">
        <v>0.21099999999999999</v>
      </c>
      <c r="F19" s="45">
        <v>0.32800000000000001</v>
      </c>
      <c r="G19" s="6">
        <v>0.108</v>
      </c>
      <c r="H19" s="5">
        <f t="shared" si="0"/>
        <v>0.85080645161290325</v>
      </c>
      <c r="I19" s="5">
        <f t="shared" si="1"/>
        <v>1.3225806451612905</v>
      </c>
      <c r="J19" s="54">
        <f t="shared" si="2"/>
        <v>0.43548387096774194</v>
      </c>
      <c r="K19" s="20" t="s">
        <v>8</v>
      </c>
      <c r="L19" s="20">
        <v>25556</v>
      </c>
      <c r="M19" s="20" t="s">
        <v>8</v>
      </c>
      <c r="N19" s="4" t="s">
        <v>196</v>
      </c>
      <c r="O19" s="4" t="s">
        <v>206</v>
      </c>
    </row>
    <row r="20" spans="1:15" s="7" customFormat="1" ht="41.4" x14ac:dyDescent="0.25">
      <c r="A20" s="4" t="s">
        <v>46</v>
      </c>
      <c r="B20" s="16" t="s">
        <v>172</v>
      </c>
      <c r="C20" s="4" t="s">
        <v>47</v>
      </c>
      <c r="D20" s="6">
        <v>8.1000000000000003E-2</v>
      </c>
      <c r="E20" s="6">
        <v>0.14000000000000001</v>
      </c>
      <c r="F20" s="6">
        <v>0.19900000000000001</v>
      </c>
      <c r="G20" s="6">
        <v>7.1999999999999995E-2</v>
      </c>
      <c r="H20" s="5">
        <f t="shared" si="0"/>
        <v>1.7283950617283952</v>
      </c>
      <c r="I20" s="5">
        <f t="shared" si="1"/>
        <v>2.4567901234567904</v>
      </c>
      <c r="J20" s="54">
        <f t="shared" si="2"/>
        <v>0.88888888888888884</v>
      </c>
      <c r="K20" s="20">
        <v>62760</v>
      </c>
      <c r="L20" s="20">
        <v>37695</v>
      </c>
      <c r="M20" s="20" t="s">
        <v>8</v>
      </c>
      <c r="N20" s="4" t="s">
        <v>196</v>
      </c>
      <c r="O20" s="4" t="s">
        <v>206</v>
      </c>
    </row>
    <row r="21" spans="1:15" s="7" customFormat="1" ht="41.4" x14ac:dyDescent="0.25">
      <c r="A21" s="4" t="s">
        <v>46</v>
      </c>
      <c r="B21" s="16" t="s">
        <v>173</v>
      </c>
      <c r="C21" s="4" t="s">
        <v>48</v>
      </c>
      <c r="D21" s="51">
        <v>7.9000264000000001E-2</v>
      </c>
      <c r="E21" s="52">
        <v>0.115581921</v>
      </c>
      <c r="F21" s="52">
        <v>0.21013841999999999</v>
      </c>
      <c r="G21" s="52">
        <v>8.3096342000000004E-2</v>
      </c>
      <c r="H21" s="5">
        <f t="shared" si="0"/>
        <v>1.4630574019347582</v>
      </c>
      <c r="I21" s="5">
        <f t="shared" si="1"/>
        <v>2.6599711109826165</v>
      </c>
      <c r="J21" s="54">
        <f t="shared" si="2"/>
        <v>1.0518489153403336</v>
      </c>
      <c r="K21" s="20">
        <v>31765</v>
      </c>
      <c r="L21" s="20">
        <v>36798</v>
      </c>
      <c r="M21" s="20">
        <v>783.61658610199993</v>
      </c>
      <c r="N21" s="4" t="s">
        <v>49</v>
      </c>
      <c r="O21" s="4" t="s">
        <v>50</v>
      </c>
    </row>
    <row r="22" spans="1:15" s="7" customFormat="1" ht="55.2" x14ac:dyDescent="0.25">
      <c r="A22" s="4" t="s">
        <v>46</v>
      </c>
      <c r="B22" s="16" t="s">
        <v>174</v>
      </c>
      <c r="C22" s="4" t="s">
        <v>51</v>
      </c>
      <c r="D22" s="6">
        <f>(93259-66853)/93259</f>
        <v>0.28314693488027964</v>
      </c>
      <c r="E22" s="6">
        <v>0.38700000000000001</v>
      </c>
      <c r="F22" s="6">
        <v>0.40100000000000002</v>
      </c>
      <c r="G22" s="6">
        <v>0.312</v>
      </c>
      <c r="H22" s="5">
        <f t="shared" si="0"/>
        <v>1.3667815269256989</v>
      </c>
      <c r="I22" s="5">
        <f t="shared" si="1"/>
        <v>1.4162258198894191</v>
      </c>
      <c r="J22" s="54">
        <f t="shared" si="2"/>
        <v>1.1019013860486253</v>
      </c>
      <c r="K22" s="20">
        <v>2426.0076011966676</v>
      </c>
      <c r="L22" s="20">
        <v>904.1687155984946</v>
      </c>
      <c r="M22" s="20">
        <v>121.41369802378313</v>
      </c>
      <c r="N22" s="4" t="s">
        <v>41</v>
      </c>
      <c r="O22" s="4" t="s">
        <v>42</v>
      </c>
    </row>
    <row r="23" spans="1:15" s="7" customFormat="1" ht="41.4" x14ac:dyDescent="0.25">
      <c r="A23" s="4" t="s">
        <v>46</v>
      </c>
      <c r="B23" s="16" t="s">
        <v>175</v>
      </c>
      <c r="C23" s="4" t="s">
        <v>242</v>
      </c>
      <c r="D23" s="6">
        <f>100%-52.9%</f>
        <v>0.47099999999999997</v>
      </c>
      <c r="E23" s="6">
        <f>100%-38.8%</f>
        <v>0.6120000000000001</v>
      </c>
      <c r="F23" s="6">
        <f>100%-45.9%</f>
        <v>0.54100000000000004</v>
      </c>
      <c r="G23" s="6" t="s">
        <v>8</v>
      </c>
      <c r="H23" s="5">
        <f t="shared" si="0"/>
        <v>1.2993630573248411</v>
      </c>
      <c r="I23" s="5">
        <f t="shared" si="1"/>
        <v>1.1486199575371552</v>
      </c>
      <c r="J23" s="20" t="s">
        <v>8</v>
      </c>
      <c r="K23" s="20" t="s">
        <v>8</v>
      </c>
      <c r="L23" s="20" t="s">
        <v>8</v>
      </c>
      <c r="M23" s="20" t="s">
        <v>8</v>
      </c>
      <c r="N23" s="4" t="s">
        <v>198</v>
      </c>
      <c r="O23" s="4" t="s">
        <v>39</v>
      </c>
    </row>
    <row r="24" spans="1:15" ht="41.4" x14ac:dyDescent="0.25">
      <c r="A24" s="10" t="s">
        <v>52</v>
      </c>
      <c r="B24" s="16" t="s">
        <v>165</v>
      </c>
      <c r="C24" s="10" t="s">
        <v>53</v>
      </c>
      <c r="D24" s="49">
        <v>0.21</v>
      </c>
      <c r="E24" s="50">
        <v>0.45</v>
      </c>
      <c r="F24" s="49">
        <v>0.35</v>
      </c>
      <c r="G24" s="50">
        <v>0.16400000000000001</v>
      </c>
      <c r="H24" s="5">
        <f t="shared" si="0"/>
        <v>2.1428571428571428</v>
      </c>
      <c r="I24" s="5">
        <f t="shared" si="1"/>
        <v>1.6666666666666665</v>
      </c>
      <c r="J24" s="54">
        <f t="shared" si="2"/>
        <v>0.78095238095238106</v>
      </c>
      <c r="K24" s="20">
        <v>67315</v>
      </c>
      <c r="L24" s="20">
        <v>17305</v>
      </c>
      <c r="M24" s="20" t="s">
        <v>8</v>
      </c>
      <c r="N24" s="10" t="s">
        <v>199</v>
      </c>
      <c r="O24" s="10" t="s">
        <v>54</v>
      </c>
    </row>
    <row r="25" spans="1:15" ht="55.2" x14ac:dyDescent="0.25">
      <c r="A25" s="10" t="s">
        <v>52</v>
      </c>
      <c r="B25" s="16" t="s">
        <v>176</v>
      </c>
      <c r="C25" s="10" t="s">
        <v>190</v>
      </c>
      <c r="D25" s="24">
        <v>251.22341575758833</v>
      </c>
      <c r="E25" s="24">
        <v>1421.5745171070951</v>
      </c>
      <c r="F25" s="6" t="s">
        <v>8</v>
      </c>
      <c r="G25" s="46" t="s">
        <v>8</v>
      </c>
      <c r="H25" s="5">
        <f t="shared" si="0"/>
        <v>5.6586067537542259</v>
      </c>
      <c r="I25" s="24" t="s">
        <v>8</v>
      </c>
      <c r="J25" s="20" t="s">
        <v>8</v>
      </c>
      <c r="K25" s="20">
        <v>16973</v>
      </c>
      <c r="L25" s="20" t="s">
        <v>8</v>
      </c>
      <c r="M25" s="20" t="s">
        <v>8</v>
      </c>
      <c r="N25" s="16" t="s">
        <v>55</v>
      </c>
      <c r="O25" s="10" t="s">
        <v>56</v>
      </c>
    </row>
    <row r="26" spans="1:15" ht="82.8" x14ac:dyDescent="0.25">
      <c r="A26" s="10" t="s">
        <v>52</v>
      </c>
      <c r="B26" s="16" t="s">
        <v>177</v>
      </c>
      <c r="C26" s="16" t="s">
        <v>191</v>
      </c>
      <c r="D26" s="5">
        <v>1266.3436395104416</v>
      </c>
      <c r="E26" s="5">
        <v>4881.5380717390581</v>
      </c>
      <c r="F26" s="6" t="s">
        <v>8</v>
      </c>
      <c r="G26" s="5">
        <v>283.46959133720406</v>
      </c>
      <c r="H26" s="5">
        <f t="shared" si="0"/>
        <v>3.8548289101260238</v>
      </c>
      <c r="I26" s="38" t="s">
        <v>8</v>
      </c>
      <c r="J26" s="54">
        <f t="shared" si="2"/>
        <v>0.22384886889532699</v>
      </c>
      <c r="K26" s="20">
        <v>52400.435697937675</v>
      </c>
      <c r="L26" s="20" t="s">
        <v>8</v>
      </c>
      <c r="M26" s="20" t="s">
        <v>8</v>
      </c>
      <c r="N26" s="12" t="s">
        <v>57</v>
      </c>
      <c r="O26" s="10" t="s">
        <v>58</v>
      </c>
    </row>
    <row r="27" spans="1:15" ht="41.4" x14ac:dyDescent="0.25">
      <c r="A27" s="10" t="s">
        <v>52</v>
      </c>
      <c r="B27" s="16" t="s">
        <v>178</v>
      </c>
      <c r="C27" s="10" t="s">
        <v>59</v>
      </c>
      <c r="D27" s="53">
        <v>0.131526843</v>
      </c>
      <c r="E27" s="53">
        <v>0.38917779299999999</v>
      </c>
      <c r="F27" s="53">
        <v>0.281198</v>
      </c>
      <c r="G27" s="53">
        <v>0.108464116</v>
      </c>
      <c r="H27" s="5">
        <f t="shared" si="0"/>
        <v>2.9589229401636286</v>
      </c>
      <c r="I27" s="5">
        <f t="shared" si="1"/>
        <v>2.1379514142219622</v>
      </c>
      <c r="J27" s="54">
        <f t="shared" si="2"/>
        <v>0.82465383891256328</v>
      </c>
      <c r="K27" s="20">
        <v>96228.765060749996</v>
      </c>
      <c r="L27" s="20">
        <v>26080.648120721002</v>
      </c>
      <c r="M27" s="20" t="s">
        <v>8</v>
      </c>
      <c r="N27" s="10" t="s">
        <v>200</v>
      </c>
      <c r="O27" s="10" t="s">
        <v>50</v>
      </c>
    </row>
    <row r="28" spans="1:15" ht="55.2" x14ac:dyDescent="0.25">
      <c r="A28" s="10" t="s">
        <v>52</v>
      </c>
      <c r="B28" s="16" t="s">
        <v>179</v>
      </c>
      <c r="C28" s="10" t="s">
        <v>60</v>
      </c>
      <c r="D28" s="6">
        <v>4.1000000000000002E-2</v>
      </c>
      <c r="E28" s="6">
        <v>0.10199999999999999</v>
      </c>
      <c r="F28" s="6">
        <v>6.9000000000000006E-2</v>
      </c>
      <c r="G28" s="6">
        <v>3.5999999999999997E-2</v>
      </c>
      <c r="H28" s="5">
        <f t="shared" si="0"/>
        <v>2.48780487804878</v>
      </c>
      <c r="I28" s="5">
        <f t="shared" si="1"/>
        <v>1.6829268292682928</v>
      </c>
      <c r="J28" s="54">
        <f t="shared" si="2"/>
        <v>0.87804878048780477</v>
      </c>
      <c r="K28" s="20">
        <v>68093.323999999993</v>
      </c>
      <c r="L28" s="20">
        <v>9473.1000000000022</v>
      </c>
      <c r="M28" s="20" t="s">
        <v>8</v>
      </c>
      <c r="N28" s="4" t="s">
        <v>201</v>
      </c>
      <c r="O28" s="10" t="s">
        <v>61</v>
      </c>
    </row>
    <row r="29" spans="1:15" ht="110.4" x14ac:dyDescent="0.25">
      <c r="A29" s="10" t="s">
        <v>52</v>
      </c>
      <c r="B29" s="16" t="s">
        <v>166</v>
      </c>
      <c r="C29" s="10" t="s">
        <v>62</v>
      </c>
      <c r="D29" s="6">
        <f>100%-90.4%</f>
        <v>9.5999999999999974E-2</v>
      </c>
      <c r="E29" s="6">
        <f>100%-77.2%</f>
        <v>0.22799999999999998</v>
      </c>
      <c r="F29" s="6">
        <f>100%-77.5%</f>
        <v>0.22499999999999998</v>
      </c>
      <c r="G29" s="6">
        <f>100%-94.5%</f>
        <v>5.5000000000000049E-2</v>
      </c>
      <c r="H29" s="5">
        <f t="shared" si="0"/>
        <v>2.3750000000000004</v>
      </c>
      <c r="I29" s="5">
        <f t="shared" si="1"/>
        <v>2.3437500000000004</v>
      </c>
      <c r="J29" s="54">
        <f t="shared" si="2"/>
        <v>0.5729166666666673</v>
      </c>
      <c r="K29" s="20" t="s">
        <v>8</v>
      </c>
      <c r="L29" s="20" t="s">
        <v>8</v>
      </c>
      <c r="M29" s="20" t="s">
        <v>8</v>
      </c>
      <c r="N29" s="10" t="s">
        <v>63</v>
      </c>
      <c r="O29" s="10" t="s">
        <v>54</v>
      </c>
    </row>
    <row r="30" spans="1:15" ht="41.4" x14ac:dyDescent="0.25">
      <c r="A30" s="10" t="s">
        <v>52</v>
      </c>
      <c r="B30" s="16" t="s">
        <v>180</v>
      </c>
      <c r="C30" s="10" t="s">
        <v>64</v>
      </c>
      <c r="D30" s="6">
        <v>9.2049000000000006E-2</v>
      </c>
      <c r="E30" s="6">
        <v>0.18700800000000001</v>
      </c>
      <c r="F30" s="6">
        <v>0.13209799999999999</v>
      </c>
      <c r="G30" s="6">
        <v>6.8418999999999994E-2</v>
      </c>
      <c r="H30" s="5">
        <f t="shared" si="0"/>
        <v>2.0316135971058893</v>
      </c>
      <c r="I30" s="5">
        <f t="shared" si="1"/>
        <v>1.435083488142185</v>
      </c>
      <c r="J30" s="54">
        <f t="shared" si="2"/>
        <v>0.74328890047691976</v>
      </c>
      <c r="K30" s="20">
        <v>18088.265114999998</v>
      </c>
      <c r="L30" s="20">
        <v>3150.4946339999988</v>
      </c>
      <c r="M30" s="20" t="s">
        <v>8</v>
      </c>
      <c r="N30" s="12" t="s">
        <v>65</v>
      </c>
      <c r="O30" s="56" t="s">
        <v>66</v>
      </c>
    </row>
    <row r="31" spans="1:15" ht="151.80000000000001" x14ac:dyDescent="0.25">
      <c r="A31" s="10" t="s">
        <v>52</v>
      </c>
      <c r="B31" s="16" t="s">
        <v>181</v>
      </c>
      <c r="C31" s="16" t="s">
        <v>67</v>
      </c>
      <c r="D31" s="6">
        <v>0.212500351764252</v>
      </c>
      <c r="E31" s="6">
        <v>0.24773331915319199</v>
      </c>
      <c r="F31" s="6">
        <v>0.23980057302951899</v>
      </c>
      <c r="G31" s="6">
        <v>3.8504265357249802E-2</v>
      </c>
      <c r="H31" s="5">
        <f t="shared" si="0"/>
        <v>1.1658019250152936</v>
      </c>
      <c r="I31" s="5">
        <f t="shared" si="1"/>
        <v>1.1284714168170125</v>
      </c>
      <c r="J31" s="54">
        <f t="shared" si="2"/>
        <v>0.18119624291241859</v>
      </c>
      <c r="K31" s="20">
        <v>13062.657892416886</v>
      </c>
      <c r="L31" s="20">
        <v>4720.6996607474357</v>
      </c>
      <c r="M31" s="20" t="s">
        <v>8</v>
      </c>
      <c r="N31" s="12" t="s">
        <v>68</v>
      </c>
      <c r="O31" s="10" t="s">
        <v>66</v>
      </c>
    </row>
    <row r="32" spans="1:15" ht="55.2" x14ac:dyDescent="0.25">
      <c r="A32" s="10" t="s">
        <v>52</v>
      </c>
      <c r="B32" s="16" t="s">
        <v>131</v>
      </c>
      <c r="C32" s="10" t="s">
        <v>69</v>
      </c>
      <c r="D32" s="6">
        <f>29%+32%</f>
        <v>0.61</v>
      </c>
      <c r="E32" s="6">
        <f>64.3%+22%</f>
        <v>0.86299999999999999</v>
      </c>
      <c r="F32" s="6">
        <v>0.86699999999999999</v>
      </c>
      <c r="G32" s="6" t="s">
        <v>8</v>
      </c>
      <c r="H32" s="5">
        <f t="shared" si="0"/>
        <v>1.4147540983606557</v>
      </c>
      <c r="I32" s="5">
        <f t="shared" si="1"/>
        <v>1.4213114754098362</v>
      </c>
      <c r="J32" s="20" t="s">
        <v>8</v>
      </c>
      <c r="K32" s="20" t="s">
        <v>8</v>
      </c>
      <c r="L32" s="20" t="s">
        <v>8</v>
      </c>
      <c r="M32" s="20" t="s">
        <v>8</v>
      </c>
      <c r="N32" s="10" t="s">
        <v>70</v>
      </c>
      <c r="O32" s="10" t="s">
        <v>71</v>
      </c>
    </row>
    <row r="33" spans="1:15" ht="124.2" x14ac:dyDescent="0.25">
      <c r="A33" s="10" t="s">
        <v>52</v>
      </c>
      <c r="B33" s="16" t="s">
        <v>182</v>
      </c>
      <c r="C33" s="10" t="s">
        <v>192</v>
      </c>
      <c r="D33" s="6">
        <f>100%-50.9%</f>
        <v>0.49099999999999999</v>
      </c>
      <c r="E33" s="6">
        <f>100%-32.1%</f>
        <v>0.67900000000000005</v>
      </c>
      <c r="F33" s="6">
        <f>100%-34%</f>
        <v>0.65999999999999992</v>
      </c>
      <c r="G33" s="6">
        <f>100%-69.4%</f>
        <v>0.30599999999999994</v>
      </c>
      <c r="H33" s="5">
        <f t="shared" si="0"/>
        <v>1.3828920570264767</v>
      </c>
      <c r="I33" s="5">
        <f t="shared" si="1"/>
        <v>1.3441955193482686</v>
      </c>
      <c r="J33" s="54">
        <f t="shared" si="2"/>
        <v>0.62321792260692455</v>
      </c>
      <c r="K33" s="20" t="s">
        <v>8</v>
      </c>
      <c r="L33" s="20" t="s">
        <v>8</v>
      </c>
      <c r="M33" s="20" t="s">
        <v>8</v>
      </c>
      <c r="N33" s="10" t="s">
        <v>202</v>
      </c>
      <c r="O33" s="10" t="s">
        <v>54</v>
      </c>
    </row>
    <row r="34" spans="1:15" ht="55.2" x14ac:dyDescent="0.25">
      <c r="A34" s="10" t="s">
        <v>52</v>
      </c>
      <c r="B34" s="16" t="s">
        <v>183</v>
      </c>
      <c r="C34" s="10" t="s">
        <v>72</v>
      </c>
      <c r="D34" s="6">
        <f>1-0.63</f>
        <v>0.37</v>
      </c>
      <c r="E34" s="6">
        <f>1-0.625</f>
        <v>0.375</v>
      </c>
      <c r="F34" s="6">
        <f>1-0.693</f>
        <v>0.30700000000000005</v>
      </c>
      <c r="G34" s="6">
        <f>1-0.672</f>
        <v>0.32799999999999996</v>
      </c>
      <c r="H34" s="5">
        <f t="shared" si="0"/>
        <v>1.0135135135135136</v>
      </c>
      <c r="I34" s="5">
        <f t="shared" si="1"/>
        <v>0.82972972972972991</v>
      </c>
      <c r="J34" s="54">
        <f t="shared" si="2"/>
        <v>0.88648648648648642</v>
      </c>
      <c r="K34" s="20">
        <v>5581.4199999999837</v>
      </c>
      <c r="L34" s="20" t="s">
        <v>8</v>
      </c>
      <c r="M34" s="20" t="s">
        <v>8</v>
      </c>
      <c r="N34" s="4" t="s">
        <v>203</v>
      </c>
      <c r="O34" s="10" t="s">
        <v>61</v>
      </c>
    </row>
    <row r="35" spans="1:15" ht="41.4" x14ac:dyDescent="0.25">
      <c r="A35" s="10" t="s">
        <v>73</v>
      </c>
      <c r="B35" s="16" t="s">
        <v>184</v>
      </c>
      <c r="C35" s="10" t="s">
        <v>74</v>
      </c>
      <c r="D35" s="19">
        <v>3.2965913154018603E-2</v>
      </c>
      <c r="E35" s="19">
        <v>0.114920947083818</v>
      </c>
      <c r="F35" s="19">
        <v>0.105321841481615</v>
      </c>
      <c r="G35" s="19" t="s">
        <v>8</v>
      </c>
      <c r="H35" s="5">
        <f t="shared" si="0"/>
        <v>3.4860538079713086</v>
      </c>
      <c r="I35" s="5">
        <f t="shared" si="1"/>
        <v>3.194871047240385</v>
      </c>
      <c r="J35" s="20" t="s">
        <v>8</v>
      </c>
      <c r="K35" s="20">
        <v>30384.910784507058</v>
      </c>
      <c r="L35" s="20">
        <v>12511.642414551316</v>
      </c>
      <c r="M35" s="20" t="s">
        <v>8</v>
      </c>
      <c r="N35" s="12" t="s">
        <v>68</v>
      </c>
      <c r="O35" s="10" t="s">
        <v>66</v>
      </c>
    </row>
    <row r="36" spans="1:15" ht="41.4" x14ac:dyDescent="0.25">
      <c r="A36" s="10" t="s">
        <v>73</v>
      </c>
      <c r="B36" s="16" t="s">
        <v>185</v>
      </c>
      <c r="C36" s="10" t="s">
        <v>75</v>
      </c>
      <c r="D36" s="39">
        <v>0.06</v>
      </c>
      <c r="E36" s="39">
        <v>0.2</v>
      </c>
      <c r="F36" s="39">
        <v>0.09</v>
      </c>
      <c r="G36" s="39">
        <v>7.0000000000000007E-2</v>
      </c>
      <c r="H36" s="5">
        <f t="shared" si="0"/>
        <v>3.3333333333333335</v>
      </c>
      <c r="I36" s="5">
        <f t="shared" si="1"/>
        <v>1.5</v>
      </c>
      <c r="J36" s="54">
        <f t="shared" si="2"/>
        <v>1.1666666666666667</v>
      </c>
      <c r="K36" s="20">
        <v>82794.600000000006</v>
      </c>
      <c r="L36" s="20">
        <v>4333.3333333333321</v>
      </c>
      <c r="M36" s="20">
        <v>910.28508287292789</v>
      </c>
      <c r="N36" s="10" t="s">
        <v>204</v>
      </c>
      <c r="O36" s="10" t="s">
        <v>207</v>
      </c>
    </row>
    <row r="37" spans="1:15" ht="55.2" x14ac:dyDescent="0.25">
      <c r="A37" s="10" t="s">
        <v>73</v>
      </c>
      <c r="B37" s="16" t="s">
        <v>138</v>
      </c>
      <c r="C37" s="10" t="s">
        <v>77</v>
      </c>
      <c r="D37" s="19">
        <v>0.20499999999999999</v>
      </c>
      <c r="E37" s="19">
        <v>0.129</v>
      </c>
      <c r="F37" s="19">
        <v>0.16700000000000001</v>
      </c>
      <c r="G37" s="19">
        <v>0.128</v>
      </c>
      <c r="H37" s="5">
        <f t="shared" si="0"/>
        <v>0.62926829268292683</v>
      </c>
      <c r="I37" s="5">
        <f t="shared" si="1"/>
        <v>0.81463414634146347</v>
      </c>
      <c r="J37" s="54">
        <f t="shared" si="2"/>
        <v>0.62439024390243902</v>
      </c>
      <c r="K37" s="20" t="s">
        <v>8</v>
      </c>
      <c r="L37" s="20" t="s">
        <v>8</v>
      </c>
      <c r="M37" s="20" t="s">
        <v>8</v>
      </c>
      <c r="N37" s="12" t="s">
        <v>78</v>
      </c>
      <c r="O37" s="10" t="s">
        <v>66</v>
      </c>
    </row>
    <row r="38" spans="1:15" ht="82.8" x14ac:dyDescent="0.25">
      <c r="A38" s="10" t="s">
        <v>73</v>
      </c>
      <c r="B38" s="16" t="s">
        <v>167</v>
      </c>
      <c r="C38" s="10" t="s">
        <v>79</v>
      </c>
      <c r="D38" s="19">
        <f>(164225+184175)/(2761495+1045035)</f>
        <v>9.1526928725111853E-2</v>
      </c>
      <c r="E38" s="19">
        <f>(23445+94960)/(210610+374090)</f>
        <v>0.20250555840602019</v>
      </c>
      <c r="F38" s="19">
        <f>(5195+14980)/(62820+73905)</f>
        <v>0.14755896873285793</v>
      </c>
      <c r="G38" s="19">
        <f>(3440+6775)/(46860+41275)</f>
        <v>0.115901741646338</v>
      </c>
      <c r="H38" s="5">
        <f t="shared" si="0"/>
        <v>2.2125243491368196</v>
      </c>
      <c r="I38" s="5">
        <f t="shared" si="1"/>
        <v>1.6121918520398555</v>
      </c>
      <c r="J38" s="54">
        <f t="shared" si="2"/>
        <v>1.266313021323292</v>
      </c>
      <c r="K38" s="20" t="s">
        <v>8</v>
      </c>
      <c r="L38" s="20" t="s">
        <v>8</v>
      </c>
      <c r="M38" s="20" t="s">
        <v>8</v>
      </c>
      <c r="N38" s="40" t="s">
        <v>80</v>
      </c>
      <c r="O38" s="16" t="s">
        <v>81</v>
      </c>
    </row>
    <row r="39" spans="1:15" ht="41.4" x14ac:dyDescent="0.25">
      <c r="A39" s="10" t="s">
        <v>73</v>
      </c>
      <c r="B39" s="16" t="s">
        <v>186</v>
      </c>
      <c r="C39" s="10" t="s">
        <v>82</v>
      </c>
      <c r="D39" s="47">
        <f>1-0.908</f>
        <v>9.1999999999999971E-2</v>
      </c>
      <c r="E39" s="47">
        <f>1-0.871</f>
        <v>0.129</v>
      </c>
      <c r="F39" s="47">
        <f>1-0.899</f>
        <v>0.10099999999999998</v>
      </c>
      <c r="G39" s="47">
        <f>1-0.955</f>
        <v>4.500000000000004E-2</v>
      </c>
      <c r="H39" s="5">
        <f t="shared" si="0"/>
        <v>1.4021739130434787</v>
      </c>
      <c r="I39" s="5">
        <f t="shared" si="1"/>
        <v>1.097826086956522</v>
      </c>
      <c r="J39" s="54">
        <f t="shared" si="2"/>
        <v>0.48913043478260931</v>
      </c>
      <c r="K39" s="20">
        <v>53629.650000000052</v>
      </c>
      <c r="L39" s="20">
        <v>4451.6250000000073</v>
      </c>
      <c r="M39" s="20" t="s">
        <v>8</v>
      </c>
      <c r="N39" s="10" t="s">
        <v>83</v>
      </c>
      <c r="O39" s="10" t="s">
        <v>61</v>
      </c>
    </row>
    <row r="40" spans="1:15" ht="96.6" x14ac:dyDescent="0.25">
      <c r="A40" s="10" t="s">
        <v>73</v>
      </c>
      <c r="B40" s="16" t="s">
        <v>187</v>
      </c>
      <c r="C40" s="10" t="s">
        <v>84</v>
      </c>
      <c r="D40" s="48">
        <v>30</v>
      </c>
      <c r="E40" s="48">
        <v>41</v>
      </c>
      <c r="F40" s="48">
        <v>33</v>
      </c>
      <c r="G40" s="48">
        <v>37</v>
      </c>
      <c r="H40" s="5">
        <f>E40/D40</f>
        <v>1.3666666666666667</v>
      </c>
      <c r="I40" s="5">
        <f t="shared" si="1"/>
        <v>1.1000000000000001</v>
      </c>
      <c r="J40" s="54">
        <f t="shared" si="2"/>
        <v>1.2333333333333334</v>
      </c>
      <c r="K40" s="20" t="s">
        <v>8</v>
      </c>
      <c r="L40" s="20" t="s">
        <v>8</v>
      </c>
      <c r="M40" s="20" t="s">
        <v>8</v>
      </c>
      <c r="N40" s="10" t="s">
        <v>85</v>
      </c>
      <c r="O40" s="10" t="s">
        <v>76</v>
      </c>
    </row>
    <row r="41" spans="1:15" s="7" customFormat="1" ht="55.2" x14ac:dyDescent="0.25">
      <c r="A41" s="4" t="s">
        <v>86</v>
      </c>
      <c r="B41" s="16" t="s">
        <v>244</v>
      </c>
      <c r="C41" s="4" t="s">
        <v>87</v>
      </c>
      <c r="D41" s="6">
        <v>1.2095387448454601E-2</v>
      </c>
      <c r="E41" s="6">
        <v>0.114049180338939</v>
      </c>
      <c r="F41" s="6">
        <v>0.102516899014302</v>
      </c>
      <c r="G41" s="6">
        <v>0.113605329176487</v>
      </c>
      <c r="H41" s="5">
        <f t="shared" si="0"/>
        <v>9.4291465093588869</v>
      </c>
      <c r="I41" s="5">
        <f t="shared" si="1"/>
        <v>8.4757019525984951</v>
      </c>
      <c r="J41" s="54">
        <f t="shared" si="2"/>
        <v>9.3924506065328295</v>
      </c>
      <c r="K41" s="20">
        <v>124456.527</v>
      </c>
      <c r="L41" s="20">
        <v>15635.506936943202</v>
      </c>
      <c r="M41" s="20">
        <v>6050.8046065245544</v>
      </c>
      <c r="N41" s="12" t="s">
        <v>68</v>
      </c>
      <c r="O41" s="4" t="s">
        <v>66</v>
      </c>
    </row>
    <row r="42" spans="1:15" s="7" customFormat="1" ht="69" x14ac:dyDescent="0.25">
      <c r="A42" s="4" t="s">
        <v>86</v>
      </c>
      <c r="B42" s="16" t="s">
        <v>243</v>
      </c>
      <c r="C42" s="4" t="s">
        <v>193</v>
      </c>
      <c r="D42" s="6">
        <v>1.7000000000000001E-2</v>
      </c>
      <c r="E42" s="6">
        <v>0.13400000000000001</v>
      </c>
      <c r="F42" s="6">
        <v>7.8E-2</v>
      </c>
      <c r="G42" s="6" t="s">
        <v>8</v>
      </c>
      <c r="H42" s="5">
        <f t="shared" si="0"/>
        <v>7.8823529411764701</v>
      </c>
      <c r="I42" s="5">
        <f>F42/D42</f>
        <v>4.5882352941176467</v>
      </c>
      <c r="J42" s="20" t="s">
        <v>8</v>
      </c>
      <c r="K42" s="20">
        <v>124456.527</v>
      </c>
      <c r="L42" s="20">
        <v>19486.328000000001</v>
      </c>
      <c r="M42" s="20" t="s">
        <v>8</v>
      </c>
      <c r="N42" s="16" t="s">
        <v>205</v>
      </c>
      <c r="O42" s="4" t="s">
        <v>39</v>
      </c>
    </row>
    <row r="43" spans="1:15" s="7" customFormat="1" ht="55.2" x14ac:dyDescent="0.25">
      <c r="A43" s="4" t="s">
        <v>86</v>
      </c>
      <c r="B43" s="16" t="s">
        <v>188</v>
      </c>
      <c r="C43" s="4" t="s">
        <v>88</v>
      </c>
      <c r="D43" s="6">
        <v>1.4E-2</v>
      </c>
      <c r="E43" s="6">
        <v>0.192</v>
      </c>
      <c r="F43" s="6" t="s">
        <v>8</v>
      </c>
      <c r="G43" s="6" t="s">
        <v>8</v>
      </c>
      <c r="H43" s="5">
        <f t="shared" si="0"/>
        <v>13.714285714285714</v>
      </c>
      <c r="I43" s="24" t="s">
        <v>8</v>
      </c>
      <c r="J43" s="20" t="s">
        <v>8</v>
      </c>
      <c r="K43" s="20">
        <v>189344.11800000002</v>
      </c>
      <c r="L43" s="20" t="s">
        <v>8</v>
      </c>
      <c r="M43" s="20" t="s">
        <v>8</v>
      </c>
      <c r="N43" s="16" t="s">
        <v>205</v>
      </c>
      <c r="O43" s="4" t="s">
        <v>89</v>
      </c>
    </row>
    <row r="44" spans="1:15" s="7" customFormat="1" ht="55.2" x14ac:dyDescent="0.25">
      <c r="A44" s="4" t="s">
        <v>86</v>
      </c>
      <c r="B44" s="16" t="s">
        <v>189</v>
      </c>
      <c r="C44" s="4" t="s">
        <v>90</v>
      </c>
      <c r="D44" s="6">
        <v>2.7E-2</v>
      </c>
      <c r="E44" s="6">
        <v>0.23</v>
      </c>
      <c r="F44" s="6" t="s">
        <v>8</v>
      </c>
      <c r="G44" s="6" t="s">
        <v>8</v>
      </c>
      <c r="H44" s="5">
        <f t="shared" si="0"/>
        <v>8.518518518518519</v>
      </c>
      <c r="I44" s="24" t="s">
        <v>8</v>
      </c>
      <c r="J44" s="20" t="s">
        <v>8</v>
      </c>
      <c r="K44" s="20">
        <v>215937.39300000001</v>
      </c>
      <c r="L44" s="20" t="s">
        <v>8</v>
      </c>
      <c r="M44" s="20" t="s">
        <v>8</v>
      </c>
      <c r="N44" s="16" t="s">
        <v>205</v>
      </c>
      <c r="O44" s="4" t="s">
        <v>89</v>
      </c>
    </row>
  </sheetData>
  <autoFilter ref="A13:O44" xr:uid="{B681326F-8C9E-4B96-B47F-5D532CA0B12E}"/>
  <mergeCells count="13">
    <mergeCell ref="N12:O12"/>
    <mergeCell ref="H12:I12"/>
    <mergeCell ref="D12:G12"/>
    <mergeCell ref="A12:C12"/>
    <mergeCell ref="K12:M12"/>
    <mergeCell ref="B7:C7"/>
    <mergeCell ref="B8:C8"/>
    <mergeCell ref="A10:C10"/>
    <mergeCell ref="A1:C1"/>
    <mergeCell ref="A2:C2"/>
    <mergeCell ref="A4:C4"/>
    <mergeCell ref="B5:C5"/>
    <mergeCell ref="B6:C6"/>
  </mergeCells>
  <conditionalFormatting sqref="H14:H44">
    <cfRule type="cellIs" dxfId="20" priority="7" operator="greaterThanOrEqual">
      <formula>2</formula>
    </cfRule>
    <cfRule type="cellIs" dxfId="19" priority="8" operator="greaterThanOrEqual">
      <formula>1.1</formula>
    </cfRule>
    <cfRule type="cellIs" dxfId="18" priority="9" operator="lessThan">
      <formula>1.1</formula>
    </cfRule>
  </conditionalFormatting>
  <conditionalFormatting sqref="I14:I24 I27:I42">
    <cfRule type="cellIs" dxfId="17" priority="4" operator="greaterThanOrEqual">
      <formula>2</formula>
    </cfRule>
    <cfRule type="cellIs" dxfId="16" priority="5" operator="greaterThanOrEqual">
      <formula>1.1</formula>
    </cfRule>
    <cfRule type="cellIs" dxfId="15" priority="6" operator="lessThan">
      <formula>1.1</formula>
    </cfRule>
  </conditionalFormatting>
  <conditionalFormatting sqref="J14:J15 J17 J19:J22 J24 J26:J31 J33:J34 J36:J41">
    <cfRule type="cellIs" dxfId="14" priority="1" operator="greaterThanOrEqual">
      <formula>2</formula>
    </cfRule>
    <cfRule type="cellIs" dxfId="13" priority="2" operator="greaterThanOrEqual">
      <formula>1.1</formula>
    </cfRule>
    <cfRule type="cellIs" dxfId="12" priority="3" operator="lessThan">
      <formula>1.1</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E02A-DD27-4FA2-8156-89DB8D8B9EAF}">
  <dimension ref="A1:I33"/>
  <sheetViews>
    <sheetView topLeftCell="A21" zoomScaleNormal="100" workbookViewId="0">
      <pane xSplit="2" topLeftCell="C1" activePane="topRight" state="frozen"/>
      <selection activeCell="B10" sqref="B10"/>
      <selection pane="topRight" activeCell="B25" sqref="B25"/>
    </sheetView>
  </sheetViews>
  <sheetFormatPr defaultColWidth="9" defaultRowHeight="13.8" x14ac:dyDescent="0.25"/>
  <cols>
    <col min="1" max="1" width="23.5" style="8" customWidth="1"/>
    <col min="2" max="2" width="43.69921875" style="8" customWidth="1"/>
    <col min="3" max="3" width="65" style="8" customWidth="1"/>
    <col min="4" max="4" width="11.69921875" style="8" customWidth="1"/>
    <col min="5" max="5" width="12.19921875" style="8" customWidth="1"/>
    <col min="6" max="6" width="17.69921875" style="8" customWidth="1"/>
    <col min="7" max="7" width="14.19921875" style="8" customWidth="1"/>
    <col min="8" max="9" width="46.69921875" style="8" customWidth="1"/>
    <col min="10" max="16384" width="9" style="8"/>
  </cols>
  <sheetData>
    <row r="1" spans="1:9" customFormat="1" ht="13.95" customHeight="1" x14ac:dyDescent="0.25">
      <c r="A1" s="67" t="s">
        <v>0</v>
      </c>
      <c r="B1" s="67"/>
      <c r="C1" s="67"/>
    </row>
    <row r="2" spans="1:9" customFormat="1" ht="13.95" customHeight="1" x14ac:dyDescent="0.25">
      <c r="A2" s="67" t="s">
        <v>162</v>
      </c>
      <c r="B2" s="67"/>
      <c r="C2" s="67"/>
    </row>
    <row r="3" spans="1:9" customFormat="1" x14ac:dyDescent="0.25"/>
    <row r="4" spans="1:9" customFormat="1" ht="17.399999999999999" x14ac:dyDescent="0.25">
      <c r="A4" s="68" t="s">
        <v>1</v>
      </c>
      <c r="B4" s="69"/>
      <c r="C4" s="70"/>
    </row>
    <row r="5" spans="1:9" customFormat="1" x14ac:dyDescent="0.25">
      <c r="A5" s="32" t="s">
        <v>2</v>
      </c>
      <c r="B5" s="62" t="s">
        <v>3</v>
      </c>
      <c r="C5" s="63"/>
      <c r="D5" s="2"/>
      <c r="E5" s="2"/>
    </row>
    <row r="6" spans="1:9" customFormat="1" x14ac:dyDescent="0.25">
      <c r="A6" s="33" t="s">
        <v>4</v>
      </c>
      <c r="B6" s="62" t="s">
        <v>5</v>
      </c>
      <c r="C6" s="63"/>
      <c r="D6" s="2"/>
      <c r="E6" s="2"/>
    </row>
    <row r="7" spans="1:9" customFormat="1" x14ac:dyDescent="0.25">
      <c r="A7" s="34" t="s">
        <v>6</v>
      </c>
      <c r="B7" s="62" t="s">
        <v>7</v>
      </c>
      <c r="C7" s="63"/>
      <c r="D7" s="2"/>
      <c r="E7" s="2"/>
    </row>
    <row r="8" spans="1:9" customFormat="1" ht="16.2" customHeight="1" x14ac:dyDescent="0.25">
      <c r="A8" s="35" t="s">
        <v>8</v>
      </c>
      <c r="B8" s="62" t="s">
        <v>9</v>
      </c>
      <c r="C8" s="63"/>
      <c r="D8" s="2"/>
      <c r="E8" s="2"/>
    </row>
    <row r="9" spans="1:9" customFormat="1" ht="90" customHeight="1" x14ac:dyDescent="0.25">
      <c r="A9" s="64" t="s">
        <v>11</v>
      </c>
      <c r="B9" s="65"/>
      <c r="C9" s="66"/>
      <c r="D9" s="2"/>
      <c r="E9" s="2"/>
    </row>
    <row r="10" spans="1:9" customFormat="1" x14ac:dyDescent="0.25">
      <c r="A10" s="42"/>
      <c r="B10" s="43"/>
      <c r="C10" s="44"/>
      <c r="D10" s="2"/>
      <c r="E10" s="2"/>
    </row>
    <row r="11" spans="1:9" ht="34.799999999999997" x14ac:dyDescent="0.25">
      <c r="A11" s="75" t="s">
        <v>12</v>
      </c>
      <c r="B11" s="75"/>
      <c r="C11" s="75"/>
      <c r="D11" s="75" t="s">
        <v>13</v>
      </c>
      <c r="E11" s="75"/>
      <c r="F11" s="18" t="s">
        <v>14</v>
      </c>
      <c r="G11" s="18" t="s">
        <v>91</v>
      </c>
      <c r="H11" s="75" t="s">
        <v>16</v>
      </c>
      <c r="I11" s="75"/>
    </row>
    <row r="12" spans="1:9" ht="82.8" x14ac:dyDescent="0.25">
      <c r="A12" s="3" t="s">
        <v>17</v>
      </c>
      <c r="B12" s="3" t="s">
        <v>92</v>
      </c>
      <c r="C12" s="3" t="s">
        <v>19</v>
      </c>
      <c r="D12" s="3" t="s">
        <v>93</v>
      </c>
      <c r="E12" s="3" t="s">
        <v>94</v>
      </c>
      <c r="F12" s="3" t="s">
        <v>95</v>
      </c>
      <c r="G12" s="3" t="s">
        <v>96</v>
      </c>
      <c r="H12" s="3" t="s">
        <v>28</v>
      </c>
      <c r="I12" s="3" t="s">
        <v>97</v>
      </c>
    </row>
    <row r="13" spans="1:9" ht="41.4" x14ac:dyDescent="0.25">
      <c r="A13" s="4" t="s">
        <v>30</v>
      </c>
      <c r="B13" s="41" t="s">
        <v>208</v>
      </c>
      <c r="C13" s="4" t="s">
        <v>45</v>
      </c>
      <c r="D13" s="6">
        <v>0.49099999999999999</v>
      </c>
      <c r="E13" s="6">
        <v>0.14399999999999999</v>
      </c>
      <c r="F13" s="5">
        <f>D13/E13</f>
        <v>3.4097222222222223</v>
      </c>
      <c r="G13" s="20">
        <v>556865.6</v>
      </c>
      <c r="H13" s="4" t="s">
        <v>215</v>
      </c>
      <c r="I13" s="4" t="s">
        <v>98</v>
      </c>
    </row>
    <row r="14" spans="1:9" ht="41.4" x14ac:dyDescent="0.25">
      <c r="A14" s="4" t="s">
        <v>30</v>
      </c>
      <c r="B14" s="41" t="s">
        <v>209</v>
      </c>
      <c r="C14" s="4" t="s">
        <v>38</v>
      </c>
      <c r="D14" s="6">
        <v>0.17100000000000001</v>
      </c>
      <c r="E14" s="6">
        <v>8.2000000000000003E-2</v>
      </c>
      <c r="F14" s="5">
        <f t="shared" ref="F14:F25" si="0">D14/E14</f>
        <v>2.0853658536585367</v>
      </c>
      <c r="G14" s="20">
        <v>142827.20000000004</v>
      </c>
      <c r="H14" s="4" t="s">
        <v>196</v>
      </c>
      <c r="I14" s="4" t="s">
        <v>98</v>
      </c>
    </row>
    <row r="15" spans="1:9" ht="41.4" x14ac:dyDescent="0.25">
      <c r="A15" s="4" t="s">
        <v>46</v>
      </c>
      <c r="B15" s="41" t="s">
        <v>210</v>
      </c>
      <c r="C15" s="4" t="s">
        <v>47</v>
      </c>
      <c r="D15" s="6">
        <v>0.17</v>
      </c>
      <c r="E15" s="6">
        <v>6.0999999999999999E-2</v>
      </c>
      <c r="F15" s="5">
        <f t="shared" si="0"/>
        <v>2.7868852459016398</v>
      </c>
      <c r="G15" s="20">
        <v>174923.2</v>
      </c>
      <c r="H15" s="4" t="s">
        <v>215</v>
      </c>
      <c r="I15" s="4" t="s">
        <v>98</v>
      </c>
    </row>
    <row r="16" spans="1:9" ht="41.4" x14ac:dyDescent="0.25">
      <c r="A16" s="4" t="s">
        <v>46</v>
      </c>
      <c r="B16" s="41" t="s">
        <v>173</v>
      </c>
      <c r="C16" s="4" t="s">
        <v>48</v>
      </c>
      <c r="D16" s="6">
        <v>7.3068518999999998E-2</v>
      </c>
      <c r="E16" s="6">
        <v>8.9965033999999999E-2</v>
      </c>
      <c r="F16" s="5">
        <f t="shared" si="0"/>
        <v>0.81218797738685899</v>
      </c>
      <c r="G16" s="20" t="s">
        <v>8</v>
      </c>
      <c r="H16" s="17" t="s">
        <v>99</v>
      </c>
      <c r="I16" s="4" t="s">
        <v>100</v>
      </c>
    </row>
    <row r="17" spans="1:9" ht="55.2" x14ac:dyDescent="0.25">
      <c r="A17" s="4" t="s">
        <v>52</v>
      </c>
      <c r="B17" s="41" t="s">
        <v>183</v>
      </c>
      <c r="C17" s="4" t="s">
        <v>101</v>
      </c>
      <c r="D17" s="6">
        <v>0.552094902</v>
      </c>
      <c r="E17" s="6">
        <v>0.16946807699999999</v>
      </c>
      <c r="F17" s="5">
        <f>D17/E17</f>
        <v>3.2578106258915063</v>
      </c>
      <c r="G17" s="20">
        <v>623069.904456825</v>
      </c>
      <c r="H17" s="4" t="s">
        <v>216</v>
      </c>
      <c r="I17" s="4" t="s">
        <v>100</v>
      </c>
    </row>
    <row r="18" spans="1:9" ht="55.2" x14ac:dyDescent="0.25">
      <c r="A18" s="4" t="s">
        <v>52</v>
      </c>
      <c r="B18" s="41" t="s">
        <v>211</v>
      </c>
      <c r="C18" s="4" t="s">
        <v>64</v>
      </c>
      <c r="D18" s="6">
        <v>0.29111900000000002</v>
      </c>
      <c r="E18" s="6">
        <v>9.2068999999999998E-2</v>
      </c>
      <c r="F18" s="5">
        <f t="shared" si="0"/>
        <v>3.1619654824099319</v>
      </c>
      <c r="G18" s="20">
        <v>23760.797550000003</v>
      </c>
      <c r="H18" s="12" t="s">
        <v>65</v>
      </c>
      <c r="I18" s="12" t="s">
        <v>102</v>
      </c>
    </row>
    <row r="19" spans="1:9" ht="55.2" x14ac:dyDescent="0.25">
      <c r="A19" s="4" t="s">
        <v>52</v>
      </c>
      <c r="B19" s="41" t="s">
        <v>179</v>
      </c>
      <c r="C19" s="4" t="s">
        <v>60</v>
      </c>
      <c r="D19" s="6">
        <v>5.0105443999999999E-2</v>
      </c>
      <c r="E19" s="6">
        <v>3.7490680999999998E-2</v>
      </c>
      <c r="F19" s="5">
        <f>D19/E19</f>
        <v>1.3364772968514496</v>
      </c>
      <c r="G19" s="20">
        <v>20541.892683963</v>
      </c>
      <c r="H19" s="4" t="s">
        <v>216</v>
      </c>
      <c r="I19" s="4" t="s">
        <v>100</v>
      </c>
    </row>
    <row r="20" spans="1:9" ht="124.2" x14ac:dyDescent="0.25">
      <c r="A20" s="4" t="s">
        <v>52</v>
      </c>
      <c r="B20" s="41" t="s">
        <v>166</v>
      </c>
      <c r="C20" s="4" t="s">
        <v>103</v>
      </c>
      <c r="D20" s="6">
        <f>100%-75.1%</f>
        <v>0.24900000000000011</v>
      </c>
      <c r="E20" s="6">
        <f>100%-89.6%</f>
        <v>0.10400000000000009</v>
      </c>
      <c r="F20" s="5">
        <f t="shared" si="0"/>
        <v>2.3942307692307683</v>
      </c>
      <c r="G20" s="20" t="s">
        <v>8</v>
      </c>
      <c r="H20" s="4" t="s">
        <v>63</v>
      </c>
      <c r="I20" s="4" t="s">
        <v>104</v>
      </c>
    </row>
    <row r="21" spans="1:9" ht="179.4" x14ac:dyDescent="0.25">
      <c r="A21" s="4" t="s">
        <v>52</v>
      </c>
      <c r="B21" s="41" t="s">
        <v>212</v>
      </c>
      <c r="C21" s="16" t="s">
        <v>214</v>
      </c>
      <c r="D21" s="6">
        <v>0.373</v>
      </c>
      <c r="E21" s="6">
        <v>0.21299999999999999</v>
      </c>
      <c r="F21" s="5">
        <f t="shared" si="0"/>
        <v>1.7511737089201878</v>
      </c>
      <c r="G21" s="20">
        <v>21976.000000000004</v>
      </c>
      <c r="H21" s="12" t="s">
        <v>68</v>
      </c>
      <c r="I21" s="12" t="s">
        <v>102</v>
      </c>
    </row>
    <row r="22" spans="1:9" ht="41.4" x14ac:dyDescent="0.25">
      <c r="A22" s="4" t="s">
        <v>52</v>
      </c>
      <c r="B22" s="41" t="s">
        <v>213</v>
      </c>
      <c r="C22" s="4" t="s">
        <v>105</v>
      </c>
      <c r="D22" s="6">
        <v>0.30574483000000002</v>
      </c>
      <c r="E22" s="6">
        <v>0.16981143900000001</v>
      </c>
      <c r="F22" s="5">
        <f>D22/E22</f>
        <v>1.8004960784767863</v>
      </c>
      <c r="G22" s="20">
        <v>18670.451253850002</v>
      </c>
      <c r="H22" s="4" t="s">
        <v>217</v>
      </c>
      <c r="I22" s="4" t="s">
        <v>100</v>
      </c>
    </row>
    <row r="23" spans="1:9" ht="69" x14ac:dyDescent="0.25">
      <c r="A23" s="4" t="s">
        <v>52</v>
      </c>
      <c r="B23" s="41" t="s">
        <v>131</v>
      </c>
      <c r="C23" s="4" t="s">
        <v>69</v>
      </c>
      <c r="D23" s="6">
        <f>73.9%+15%</f>
        <v>0.88900000000000012</v>
      </c>
      <c r="E23" s="6">
        <f>28.5%+33%</f>
        <v>0.61499999999999999</v>
      </c>
      <c r="F23" s="5">
        <f t="shared" si="0"/>
        <v>1.4455284552845531</v>
      </c>
      <c r="G23" s="20" t="s">
        <v>8</v>
      </c>
      <c r="H23" s="4" t="s">
        <v>70</v>
      </c>
      <c r="I23" s="4" t="s">
        <v>106</v>
      </c>
    </row>
    <row r="24" spans="1:9" ht="41.4" x14ac:dyDescent="0.25">
      <c r="A24" s="4" t="s">
        <v>52</v>
      </c>
      <c r="B24" s="41" t="s">
        <v>165</v>
      </c>
      <c r="C24" s="4" t="s">
        <v>53</v>
      </c>
      <c r="D24" s="6">
        <v>0.35699999999999998</v>
      </c>
      <c r="E24" s="6">
        <v>0.252</v>
      </c>
      <c r="F24" s="5">
        <f>D24/E24</f>
        <v>1.4166666666666665</v>
      </c>
      <c r="G24" s="20">
        <v>29352.329999999987</v>
      </c>
      <c r="H24" s="4" t="s">
        <v>218</v>
      </c>
      <c r="I24" s="4" t="s">
        <v>107</v>
      </c>
    </row>
    <row r="25" spans="1:9" ht="55.2" x14ac:dyDescent="0.25">
      <c r="A25" s="4" t="s">
        <v>73</v>
      </c>
      <c r="B25" s="41" t="s">
        <v>245</v>
      </c>
      <c r="C25" s="4" t="s">
        <v>74</v>
      </c>
      <c r="D25" s="6">
        <v>0.112</v>
      </c>
      <c r="E25" s="6">
        <v>4.0300000000000002E-2</v>
      </c>
      <c r="F25" s="5">
        <f t="shared" si="0"/>
        <v>2.7791563275434243</v>
      </c>
      <c r="G25" s="20">
        <v>9847.9950000000008</v>
      </c>
      <c r="H25" s="12" t="s">
        <v>68</v>
      </c>
      <c r="I25" s="12" t="s">
        <v>102</v>
      </c>
    </row>
    <row r="26" spans="1:9" x14ac:dyDescent="0.25">
      <c r="B26" s="27"/>
      <c r="C26" s="13"/>
      <c r="D26" s="28"/>
      <c r="E26" s="28"/>
      <c r="G26" s="25"/>
      <c r="H26" s="26"/>
      <c r="I26" s="26"/>
    </row>
    <row r="27" spans="1:9" ht="20.399999999999999" customHeight="1" x14ac:dyDescent="0.25"/>
    <row r="28" spans="1:9" s="13" customFormat="1" x14ac:dyDescent="0.25">
      <c r="A28" s="8"/>
      <c r="B28" s="8"/>
      <c r="C28" s="8"/>
      <c r="D28" s="8"/>
    </row>
    <row r="29" spans="1:9" s="13" customFormat="1" x14ac:dyDescent="0.25">
      <c r="A29" s="14"/>
      <c r="B29" s="14"/>
      <c r="C29" s="14"/>
      <c r="D29" s="14"/>
    </row>
    <row r="30" spans="1:9" s="13" customFormat="1" x14ac:dyDescent="0.25">
      <c r="A30" s="14"/>
      <c r="B30" s="14"/>
      <c r="C30" s="14"/>
      <c r="D30" s="14"/>
    </row>
    <row r="31" spans="1:9" s="13" customFormat="1" x14ac:dyDescent="0.25">
      <c r="A31" s="14"/>
      <c r="B31" s="14"/>
      <c r="C31" s="14"/>
      <c r="D31" s="14"/>
    </row>
    <row r="32" spans="1:9" s="13" customFormat="1" ht="89.4" customHeight="1" x14ac:dyDescent="0.25">
      <c r="A32" s="14"/>
      <c r="B32" s="14"/>
      <c r="C32" s="14"/>
      <c r="D32" s="14"/>
    </row>
    <row r="33" spans="1:9" s="13" customFormat="1" x14ac:dyDescent="0.25">
      <c r="A33" s="15"/>
      <c r="B33" s="76"/>
      <c r="C33" s="76"/>
      <c r="D33" s="76"/>
      <c r="E33" s="76"/>
      <c r="F33" s="14"/>
      <c r="G33" s="14"/>
      <c r="H33" s="14"/>
      <c r="I33" s="14"/>
    </row>
  </sheetData>
  <autoFilter ref="A12:I25" xr:uid="{26B2E02A-DD27-4FA2-8156-89DB8D8B9EAF}"/>
  <mergeCells count="12">
    <mergeCell ref="H11:I11"/>
    <mergeCell ref="A11:C11"/>
    <mergeCell ref="D11:E11"/>
    <mergeCell ref="B33:E33"/>
    <mergeCell ref="A9:C9"/>
    <mergeCell ref="B7:C7"/>
    <mergeCell ref="B8:C8"/>
    <mergeCell ref="A1:C1"/>
    <mergeCell ref="A2:C2"/>
    <mergeCell ref="A4:C4"/>
    <mergeCell ref="B5:C5"/>
    <mergeCell ref="B6:C6"/>
  </mergeCells>
  <conditionalFormatting sqref="F13:F25">
    <cfRule type="cellIs" dxfId="11" priority="5" operator="equal">
      <formula>"N/A"</formula>
    </cfRule>
    <cfRule type="cellIs" dxfId="10" priority="6" operator="greaterThanOrEqual">
      <formula>2</formula>
    </cfRule>
    <cfRule type="cellIs" dxfId="9" priority="7" operator="greaterThanOrEqual">
      <formula>1.1</formula>
    </cfRule>
    <cfRule type="cellIs" dxfId="8" priority="8" operator="lessThan">
      <formula>1.1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D6DA-E790-43BF-8BC2-2A6501FADA93}">
  <dimension ref="A1:N36"/>
  <sheetViews>
    <sheetView zoomScaleNormal="100" workbookViewId="0">
      <pane xSplit="2" topLeftCell="C1" activePane="topRight" state="frozen"/>
      <selection activeCell="B26" sqref="B26"/>
      <selection pane="topRight" activeCell="B29" sqref="B29"/>
    </sheetView>
  </sheetViews>
  <sheetFormatPr defaultColWidth="8.69921875" defaultRowHeight="13.8" x14ac:dyDescent="0.25"/>
  <cols>
    <col min="1" max="1" width="20" style="13" customWidth="1"/>
    <col min="2" max="2" width="43.69921875" style="13" customWidth="1"/>
    <col min="3" max="3" width="54.69921875" style="13" customWidth="1"/>
    <col min="4" max="4" width="23.69921875" style="13" customWidth="1"/>
    <col min="5" max="5" width="17.69921875" style="13" customWidth="1"/>
    <col min="6" max="6" width="22.19921875" style="13" customWidth="1"/>
    <col min="7" max="7" width="15" style="13" customWidth="1"/>
    <col min="8" max="8" width="24" style="13" customWidth="1"/>
    <col min="9" max="9" width="14.19921875" style="13" customWidth="1"/>
    <col min="10" max="11" width="20.09765625" style="13" customWidth="1"/>
    <col min="12" max="12" width="42.19921875" style="13" customWidth="1"/>
    <col min="13" max="14" width="35" style="13" customWidth="1"/>
    <col min="15" max="16384" width="8.69921875" style="13"/>
  </cols>
  <sheetData>
    <row r="1" spans="1:14" customFormat="1" ht="13.95" customHeight="1" x14ac:dyDescent="0.25">
      <c r="A1" s="67" t="s">
        <v>0</v>
      </c>
      <c r="B1" s="67"/>
      <c r="C1" s="67"/>
    </row>
    <row r="2" spans="1:14" customFormat="1" ht="13.95" customHeight="1" x14ac:dyDescent="0.25">
      <c r="A2" s="67" t="s">
        <v>162</v>
      </c>
      <c r="B2" s="67"/>
      <c r="C2" s="67"/>
    </row>
    <row r="3" spans="1:14" customFormat="1" x14ac:dyDescent="0.25"/>
    <row r="4" spans="1:14" customFormat="1" ht="17.399999999999999" x14ac:dyDescent="0.25">
      <c r="A4" s="68" t="s">
        <v>1</v>
      </c>
      <c r="B4" s="69"/>
      <c r="C4" s="70"/>
    </row>
    <row r="5" spans="1:14" customFormat="1" x14ac:dyDescent="0.25">
      <c r="A5" s="32" t="s">
        <v>2</v>
      </c>
      <c r="B5" s="62" t="s">
        <v>3</v>
      </c>
      <c r="C5" s="63"/>
      <c r="D5" s="2"/>
      <c r="E5" s="2"/>
    </row>
    <row r="6" spans="1:14" customFormat="1" x14ac:dyDescent="0.25">
      <c r="A6" s="33" t="s">
        <v>4</v>
      </c>
      <c r="B6" s="62" t="s">
        <v>5</v>
      </c>
      <c r="C6" s="63"/>
      <c r="D6" s="2"/>
      <c r="E6" s="2"/>
    </row>
    <row r="7" spans="1:14" customFormat="1" x14ac:dyDescent="0.25">
      <c r="A7" s="34" t="s">
        <v>6</v>
      </c>
      <c r="B7" s="62" t="s">
        <v>7</v>
      </c>
      <c r="C7" s="63"/>
      <c r="D7" s="2"/>
      <c r="E7" s="2"/>
    </row>
    <row r="8" spans="1:14" customFormat="1" x14ac:dyDescent="0.25">
      <c r="A8" s="35" t="s">
        <v>8</v>
      </c>
      <c r="B8" s="62" t="s">
        <v>9</v>
      </c>
      <c r="C8" s="63"/>
      <c r="D8" s="2"/>
      <c r="E8" s="2"/>
    </row>
    <row r="9" spans="1:14" customFormat="1" ht="99" customHeight="1" x14ac:dyDescent="0.25">
      <c r="A9" s="64" t="s">
        <v>11</v>
      </c>
      <c r="B9" s="65"/>
      <c r="C9" s="66"/>
      <c r="D9" s="2"/>
      <c r="E9" s="2"/>
    </row>
    <row r="10" spans="1:14" customFormat="1" x14ac:dyDescent="0.25">
      <c r="A10" s="42"/>
      <c r="B10" s="43"/>
      <c r="C10" s="44"/>
      <c r="D10" s="2"/>
      <c r="E10" s="2"/>
    </row>
    <row r="11" spans="1:14" ht="17.399999999999999" x14ac:dyDescent="0.25">
      <c r="A11" s="75" t="s">
        <v>12</v>
      </c>
      <c r="B11" s="75"/>
      <c r="C11" s="75"/>
      <c r="D11" s="75" t="s">
        <v>13</v>
      </c>
      <c r="E11" s="75"/>
      <c r="F11" s="75"/>
      <c r="G11" s="75"/>
      <c r="H11" s="75" t="s">
        <v>14</v>
      </c>
      <c r="I11" s="75"/>
      <c r="J11" s="75" t="s">
        <v>15</v>
      </c>
      <c r="K11" s="75"/>
      <c r="L11" s="75" t="s">
        <v>16</v>
      </c>
      <c r="M11" s="75"/>
      <c r="N11" s="75"/>
    </row>
    <row r="12" spans="1:14" ht="103.95" customHeight="1" x14ac:dyDescent="0.25">
      <c r="A12" s="3" t="s">
        <v>17</v>
      </c>
      <c r="B12" s="3" t="s">
        <v>92</v>
      </c>
      <c r="C12" s="3" t="s">
        <v>19</v>
      </c>
      <c r="D12" s="3" t="s">
        <v>108</v>
      </c>
      <c r="E12" s="3" t="s">
        <v>109</v>
      </c>
      <c r="F12" s="3" t="s">
        <v>110</v>
      </c>
      <c r="G12" s="3" t="s">
        <v>111</v>
      </c>
      <c r="H12" s="3" t="s">
        <v>112</v>
      </c>
      <c r="I12" s="3" t="s">
        <v>113</v>
      </c>
      <c r="J12" s="3" t="s">
        <v>114</v>
      </c>
      <c r="K12" s="3" t="s">
        <v>115</v>
      </c>
      <c r="L12" s="3" t="s">
        <v>28</v>
      </c>
      <c r="M12" s="3" t="s">
        <v>116</v>
      </c>
      <c r="N12" s="3" t="s">
        <v>117</v>
      </c>
    </row>
    <row r="13" spans="1:14" s="1" customFormat="1" ht="41.4" x14ac:dyDescent="0.25">
      <c r="A13" s="4" t="s">
        <v>30</v>
      </c>
      <c r="B13" s="41" t="s">
        <v>163</v>
      </c>
      <c r="C13" s="41" t="s">
        <v>45</v>
      </c>
      <c r="D13" s="57">
        <v>0.36</v>
      </c>
      <c r="E13" s="57">
        <v>0.20100000000000001</v>
      </c>
      <c r="F13" s="57">
        <v>0.48099999999999998</v>
      </c>
      <c r="G13" s="57">
        <v>0.19800000000000001</v>
      </c>
      <c r="H13" s="5">
        <f>D13/E13</f>
        <v>1.7910447761194028</v>
      </c>
      <c r="I13" s="5">
        <f>F13/G13</f>
        <v>2.4292929292929291</v>
      </c>
      <c r="J13" s="20">
        <v>132927.65699999995</v>
      </c>
      <c r="K13" s="20">
        <v>163746.06399999995</v>
      </c>
      <c r="L13" s="41" t="s">
        <v>223</v>
      </c>
      <c r="M13" s="41" t="s">
        <v>118</v>
      </c>
      <c r="N13" s="41" t="s">
        <v>119</v>
      </c>
    </row>
    <row r="14" spans="1:14" s="1" customFormat="1" ht="41.4" x14ac:dyDescent="0.25">
      <c r="A14" s="4" t="s">
        <v>30</v>
      </c>
      <c r="B14" s="41" t="s">
        <v>164</v>
      </c>
      <c r="C14" s="41" t="s">
        <v>38</v>
      </c>
      <c r="D14" s="57">
        <v>0.20399999999999999</v>
      </c>
      <c r="E14" s="57">
        <v>9.8000000000000004E-2</v>
      </c>
      <c r="F14" s="57">
        <v>0.193</v>
      </c>
      <c r="G14" s="57">
        <v>0.10100000000000001</v>
      </c>
      <c r="H14" s="5">
        <f>D14/E14</f>
        <v>2.0816326530612241</v>
      </c>
      <c r="I14" s="5">
        <f>F14/G14</f>
        <v>1.9108910891089108</v>
      </c>
      <c r="J14" s="20">
        <v>88618.43799999998</v>
      </c>
      <c r="K14" s="20">
        <v>53231.935999999994</v>
      </c>
      <c r="L14" s="41" t="s">
        <v>223</v>
      </c>
      <c r="M14" s="41" t="s">
        <v>118</v>
      </c>
      <c r="N14" s="41" t="s">
        <v>119</v>
      </c>
    </row>
    <row r="15" spans="1:14" s="1" customFormat="1" ht="55.2" x14ac:dyDescent="0.25">
      <c r="A15" s="4" t="s">
        <v>30</v>
      </c>
      <c r="B15" s="41" t="s">
        <v>120</v>
      </c>
      <c r="C15" s="41" t="s">
        <v>43</v>
      </c>
      <c r="D15" s="57" t="s">
        <v>8</v>
      </c>
      <c r="E15" s="57" t="s">
        <v>8</v>
      </c>
      <c r="F15" s="57">
        <v>0.193</v>
      </c>
      <c r="G15" s="57">
        <v>5.2999999999999999E-2</v>
      </c>
      <c r="H15" s="5" t="s">
        <v>8</v>
      </c>
      <c r="I15" s="5">
        <f>F15/G15</f>
        <v>3.6415094339622645</v>
      </c>
      <c r="J15" s="20" t="s">
        <v>8</v>
      </c>
      <c r="K15" s="20">
        <v>266554.96000000002</v>
      </c>
      <c r="L15" s="41" t="s">
        <v>197</v>
      </c>
      <c r="M15" s="41" t="s">
        <v>8</v>
      </c>
      <c r="N15" s="41" t="s">
        <v>121</v>
      </c>
    </row>
    <row r="16" spans="1:14" s="1" customFormat="1" ht="41.4" x14ac:dyDescent="0.25">
      <c r="A16" s="4" t="s">
        <v>46</v>
      </c>
      <c r="B16" s="41" t="s">
        <v>172</v>
      </c>
      <c r="C16" s="41" t="s">
        <v>47</v>
      </c>
      <c r="D16" s="57">
        <v>0.188</v>
      </c>
      <c r="E16" s="57">
        <v>5.2999999999999999E-2</v>
      </c>
      <c r="F16" s="57">
        <v>0.188</v>
      </c>
      <c r="G16" s="57">
        <v>6.4000000000000001E-2</v>
      </c>
      <c r="H16" s="5">
        <f t="shared" ref="H16:H18" si="0">D16/E16</f>
        <v>3.5471698113207548</v>
      </c>
      <c r="I16" s="5">
        <f>F16/G16</f>
        <v>2.9375</v>
      </c>
      <c r="J16" s="20">
        <v>112863.105</v>
      </c>
      <c r="K16" s="20">
        <v>71747.391999999993</v>
      </c>
      <c r="L16" s="41" t="s">
        <v>223</v>
      </c>
      <c r="M16" s="41" t="s">
        <v>118</v>
      </c>
      <c r="N16" s="41" t="s">
        <v>119</v>
      </c>
    </row>
    <row r="17" spans="1:14" s="1" customFormat="1" ht="55.2" x14ac:dyDescent="0.25">
      <c r="A17" s="4" t="s">
        <v>46</v>
      </c>
      <c r="B17" s="41" t="s">
        <v>219</v>
      </c>
      <c r="C17" s="41" t="s">
        <v>51</v>
      </c>
      <c r="D17" s="57">
        <v>0.48099999999999998</v>
      </c>
      <c r="E17" s="57">
        <v>0.127</v>
      </c>
      <c r="F17" s="57" t="s">
        <v>8</v>
      </c>
      <c r="G17" s="57" t="s">
        <v>8</v>
      </c>
      <c r="H17" s="5">
        <f>D17/E17</f>
        <v>3.7874015748031495</v>
      </c>
      <c r="I17" s="5" t="s">
        <v>8</v>
      </c>
      <c r="J17" s="20">
        <v>5463.2820000000002</v>
      </c>
      <c r="K17" s="20" t="s">
        <v>8</v>
      </c>
      <c r="L17" s="41" t="s">
        <v>122</v>
      </c>
      <c r="M17" s="41" t="s">
        <v>123</v>
      </c>
      <c r="N17" s="41" t="s">
        <v>8</v>
      </c>
    </row>
    <row r="18" spans="1:14" s="1" customFormat="1" ht="55.2" x14ac:dyDescent="0.25">
      <c r="A18" s="4" t="s">
        <v>46</v>
      </c>
      <c r="B18" s="41" t="s">
        <v>220</v>
      </c>
      <c r="C18" s="41" t="s">
        <v>48</v>
      </c>
      <c r="D18" s="57">
        <v>0.220199852</v>
      </c>
      <c r="E18" s="57">
        <v>3.4430021999999998E-2</v>
      </c>
      <c r="F18" s="57">
        <v>0.14528157999999999</v>
      </c>
      <c r="G18" s="57">
        <v>3.6870924999999999E-2</v>
      </c>
      <c r="H18" s="5">
        <f t="shared" si="0"/>
        <v>6.3955768602180978</v>
      </c>
      <c r="I18" s="5">
        <f t="shared" ref="I18:I23" si="1">F18/G18</f>
        <v>3.9402748913947776</v>
      </c>
      <c r="J18" s="20">
        <v>85092.613710820006</v>
      </c>
      <c r="K18" s="20">
        <v>122332.64290444499</v>
      </c>
      <c r="L18" s="41" t="s">
        <v>124</v>
      </c>
      <c r="M18" s="41" t="s">
        <v>125</v>
      </c>
      <c r="N18" s="41" t="s">
        <v>126</v>
      </c>
    </row>
    <row r="19" spans="1:14" ht="207" x14ac:dyDescent="0.25">
      <c r="A19" s="4" t="s">
        <v>52</v>
      </c>
      <c r="B19" s="41" t="s">
        <v>212</v>
      </c>
      <c r="C19" s="41" t="s">
        <v>214</v>
      </c>
      <c r="D19" s="57">
        <v>0.16600000000000001</v>
      </c>
      <c r="E19" s="57">
        <v>0.13800000000000001</v>
      </c>
      <c r="F19" s="57">
        <v>0.32519999999999999</v>
      </c>
      <c r="G19" s="57">
        <v>0.105</v>
      </c>
      <c r="H19" s="5">
        <f>D19/E19</f>
        <v>1.2028985507246377</v>
      </c>
      <c r="I19" s="5">
        <f t="shared" si="1"/>
        <v>3.097142857142857</v>
      </c>
      <c r="J19" s="20">
        <v>61224.267999999982</v>
      </c>
      <c r="K19" s="20">
        <v>49444.368600000002</v>
      </c>
      <c r="L19" s="41" t="s">
        <v>68</v>
      </c>
      <c r="M19" s="41" t="s">
        <v>127</v>
      </c>
      <c r="N19" s="41" t="s">
        <v>128</v>
      </c>
    </row>
    <row r="20" spans="1:14" ht="55.2" x14ac:dyDescent="0.25">
      <c r="A20" s="4" t="s">
        <v>52</v>
      </c>
      <c r="B20" s="41" t="s">
        <v>165</v>
      </c>
      <c r="C20" s="41" t="s">
        <v>53</v>
      </c>
      <c r="D20" s="57" t="s">
        <v>8</v>
      </c>
      <c r="E20" s="57" t="s">
        <v>8</v>
      </c>
      <c r="F20" s="57">
        <v>0.39100000000000001</v>
      </c>
      <c r="G20" s="57">
        <v>0.14299999999999999</v>
      </c>
      <c r="H20" s="6" t="s">
        <v>8</v>
      </c>
      <c r="I20" s="5">
        <f t="shared" si="1"/>
        <v>2.7342657342657346</v>
      </c>
      <c r="J20" s="20" t="s">
        <v>8</v>
      </c>
      <c r="K20" s="20">
        <v>205809.99200000003</v>
      </c>
      <c r="L20" s="41" t="s">
        <v>218</v>
      </c>
      <c r="M20" s="41" t="s">
        <v>8</v>
      </c>
      <c r="N20" s="41" t="s">
        <v>129</v>
      </c>
    </row>
    <row r="21" spans="1:14" ht="55.2" x14ac:dyDescent="0.25">
      <c r="A21" s="4" t="s">
        <v>52</v>
      </c>
      <c r="B21" s="41" t="s">
        <v>211</v>
      </c>
      <c r="C21" s="41" t="s">
        <v>64</v>
      </c>
      <c r="D21" s="57" t="s">
        <v>8</v>
      </c>
      <c r="E21" s="57" t="s">
        <v>8</v>
      </c>
      <c r="F21" s="57">
        <v>0.121055</v>
      </c>
      <c r="G21" s="57">
        <v>5.4269999999999999E-2</v>
      </c>
      <c r="H21" s="5" t="s">
        <v>8</v>
      </c>
      <c r="I21" s="5">
        <f t="shared" si="1"/>
        <v>2.230606228118666</v>
      </c>
      <c r="J21" s="20" t="s">
        <v>8</v>
      </c>
      <c r="K21" s="20">
        <v>67048.266470000002</v>
      </c>
      <c r="L21" s="41" t="s">
        <v>65</v>
      </c>
      <c r="M21" s="41" t="s">
        <v>8</v>
      </c>
      <c r="N21" s="41" t="s">
        <v>130</v>
      </c>
    </row>
    <row r="22" spans="1:14" ht="82.8" x14ac:dyDescent="0.25">
      <c r="A22" s="4" t="s">
        <v>52</v>
      </c>
      <c r="B22" s="41" t="s">
        <v>131</v>
      </c>
      <c r="C22" s="41" t="s">
        <v>69</v>
      </c>
      <c r="D22" s="57" t="s">
        <v>8</v>
      </c>
      <c r="E22" s="57" t="s">
        <v>8</v>
      </c>
      <c r="F22" s="57">
        <f>52.9%+27%</f>
        <v>0.79900000000000004</v>
      </c>
      <c r="G22" s="57">
        <f>20.6%+32%</f>
        <v>0.52600000000000002</v>
      </c>
      <c r="H22" s="5" t="s">
        <v>8</v>
      </c>
      <c r="I22" s="5">
        <f t="shared" si="1"/>
        <v>1.5190114068441065</v>
      </c>
      <c r="J22" s="20" t="s">
        <v>8</v>
      </c>
      <c r="K22" s="20" t="s">
        <v>8</v>
      </c>
      <c r="L22" s="41" t="s">
        <v>70</v>
      </c>
      <c r="M22" s="41" t="s">
        <v>8</v>
      </c>
      <c r="N22" s="41" t="s">
        <v>132</v>
      </c>
    </row>
    <row r="23" spans="1:14" ht="151.80000000000001" x14ac:dyDescent="0.25">
      <c r="A23" s="4" t="s">
        <v>52</v>
      </c>
      <c r="B23" s="41" t="s">
        <v>166</v>
      </c>
      <c r="C23" s="41" t="s">
        <v>103</v>
      </c>
      <c r="D23" s="57" t="s">
        <v>8</v>
      </c>
      <c r="E23" s="57" t="s">
        <v>8</v>
      </c>
      <c r="F23" s="57">
        <f>100%-78.5%</f>
        <v>0.21499999999999997</v>
      </c>
      <c r="G23" s="57">
        <f>100%-93.3%</f>
        <v>6.700000000000006E-2</v>
      </c>
      <c r="H23" s="5" t="s">
        <v>8</v>
      </c>
      <c r="I23" s="5">
        <f t="shared" si="1"/>
        <v>3.2089552238805936</v>
      </c>
      <c r="J23" s="20" t="s">
        <v>8</v>
      </c>
      <c r="K23" s="20" t="s">
        <v>8</v>
      </c>
      <c r="L23" s="41" t="s">
        <v>63</v>
      </c>
      <c r="M23" s="41" t="s">
        <v>8</v>
      </c>
      <c r="N23" s="41" t="s">
        <v>133</v>
      </c>
    </row>
    <row r="24" spans="1:14" ht="69" x14ac:dyDescent="0.25">
      <c r="A24" s="4" t="s">
        <v>52</v>
      </c>
      <c r="B24" s="41" t="s">
        <v>183</v>
      </c>
      <c r="C24" s="41" t="s">
        <v>72</v>
      </c>
      <c r="D24" s="57">
        <f>1-54.4%</f>
        <v>0.45599999999999996</v>
      </c>
      <c r="E24" s="57">
        <f>1-88.2%</f>
        <v>0.11799999999999999</v>
      </c>
      <c r="F24" s="57">
        <f>1-46.8%</f>
        <v>0.53200000000000003</v>
      </c>
      <c r="G24" s="57">
        <f>1-84.3%</f>
        <v>0.15700000000000003</v>
      </c>
      <c r="H24" s="5">
        <f>D24/E24</f>
        <v>3.8644067796610169</v>
      </c>
      <c r="I24" s="5">
        <f>F24/G24</f>
        <v>3.3885350318471334</v>
      </c>
      <c r="J24" s="20">
        <v>158200.9</v>
      </c>
      <c r="K24" s="20">
        <v>415747.875</v>
      </c>
      <c r="L24" s="41" t="s">
        <v>224</v>
      </c>
      <c r="M24" s="41" t="s">
        <v>134</v>
      </c>
      <c r="N24" s="41" t="s">
        <v>135</v>
      </c>
    </row>
    <row r="25" spans="1:14" ht="69" x14ac:dyDescent="0.25">
      <c r="A25" s="4" t="s">
        <v>52</v>
      </c>
      <c r="B25" s="41" t="s">
        <v>179</v>
      </c>
      <c r="C25" s="41" t="s">
        <v>60</v>
      </c>
      <c r="D25" s="57">
        <v>0.107</v>
      </c>
      <c r="E25" s="57">
        <v>2.1999999999999999E-2</v>
      </c>
      <c r="F25" s="57">
        <v>0.216</v>
      </c>
      <c r="G25" s="57">
        <v>3.3000000000000002E-2</v>
      </c>
      <c r="H25" s="5">
        <f>D25/E25</f>
        <v>4.8636363636363642</v>
      </c>
      <c r="I25" s="5">
        <f>F25/G25</f>
        <v>6.545454545454545</v>
      </c>
      <c r="J25" s="20">
        <v>39784.25</v>
      </c>
      <c r="K25" s="20">
        <v>202884.96299999999</v>
      </c>
      <c r="L25" s="41" t="s">
        <v>224</v>
      </c>
      <c r="M25" s="41" t="s">
        <v>134</v>
      </c>
      <c r="N25" s="41" t="s">
        <v>135</v>
      </c>
    </row>
    <row r="26" spans="1:14" s="1" customFormat="1" ht="69" x14ac:dyDescent="0.25">
      <c r="A26" s="4" t="s">
        <v>73</v>
      </c>
      <c r="B26" s="41" t="s">
        <v>221</v>
      </c>
      <c r="C26" s="41" t="s">
        <v>136</v>
      </c>
      <c r="D26" s="57">
        <f>1-0.705</f>
        <v>0.29500000000000004</v>
      </c>
      <c r="E26" s="57">
        <f>1-0.961</f>
        <v>3.9000000000000035E-2</v>
      </c>
      <c r="F26" s="57" t="s">
        <v>8</v>
      </c>
      <c r="G26" s="57" t="s">
        <v>8</v>
      </c>
      <c r="H26" s="5">
        <f>D26/E26</f>
        <v>7.5641025641025585</v>
      </c>
      <c r="I26" s="5" t="s">
        <v>8</v>
      </c>
      <c r="J26" s="20">
        <v>179238.144</v>
      </c>
      <c r="K26" s="20" t="s">
        <v>8</v>
      </c>
      <c r="L26" s="41" t="s">
        <v>225</v>
      </c>
      <c r="M26" s="41" t="s">
        <v>137</v>
      </c>
      <c r="N26" s="41" t="s">
        <v>8</v>
      </c>
    </row>
    <row r="27" spans="1:14" s="1" customFormat="1" ht="55.2" x14ac:dyDescent="0.25">
      <c r="A27" s="4" t="s">
        <v>73</v>
      </c>
      <c r="B27" s="41" t="s">
        <v>222</v>
      </c>
      <c r="C27" s="41" t="s">
        <v>77</v>
      </c>
      <c r="D27" s="57">
        <v>0.23799999999999999</v>
      </c>
      <c r="E27" s="57">
        <v>6.8000000000000005E-2</v>
      </c>
      <c r="F27" s="57">
        <v>0.25019999999999998</v>
      </c>
      <c r="G27" s="57">
        <v>7.1499999999999994E-2</v>
      </c>
      <c r="H27" s="5">
        <f>D27/E27</f>
        <v>3.4999999999999996</v>
      </c>
      <c r="I27" s="5">
        <f>F27/G27</f>
        <v>3.4993006993006994</v>
      </c>
      <c r="J27" s="20">
        <v>371718.77</v>
      </c>
      <c r="K27" s="20">
        <v>40125.834099999993</v>
      </c>
      <c r="L27" s="41" t="s">
        <v>68</v>
      </c>
      <c r="M27" s="41" t="s">
        <v>127</v>
      </c>
      <c r="N27" s="41" t="s">
        <v>128</v>
      </c>
    </row>
    <row r="28" spans="1:14" s="1" customFormat="1" ht="55.2" x14ac:dyDescent="0.25">
      <c r="A28" s="4" t="s">
        <v>73</v>
      </c>
      <c r="B28" s="41" t="s">
        <v>245</v>
      </c>
      <c r="C28" s="41" t="s">
        <v>74</v>
      </c>
      <c r="D28" s="57">
        <v>5.1200000000000002E-2</v>
      </c>
      <c r="E28" s="57">
        <v>9.2300000000000004E-3</v>
      </c>
      <c r="F28" s="57">
        <v>0.154</v>
      </c>
      <c r="G28" s="57">
        <v>1.6900000000000001E-3</v>
      </c>
      <c r="H28" s="5">
        <f>D28/E28</f>
        <v>5.5471289274106175</v>
      </c>
      <c r="I28" s="5">
        <f>F28/G28</f>
        <v>91.124260355029577</v>
      </c>
      <c r="J28" s="20">
        <v>91770.804570000008</v>
      </c>
      <c r="K28" s="20">
        <v>34200.144330000003</v>
      </c>
      <c r="L28" s="41" t="s">
        <v>68</v>
      </c>
      <c r="M28" s="41" t="s">
        <v>127</v>
      </c>
      <c r="N28" s="41" t="s">
        <v>128</v>
      </c>
    </row>
    <row r="29" spans="1:14" s="1" customFormat="1" ht="96.6" x14ac:dyDescent="0.25">
      <c r="A29" s="4" t="s">
        <v>73</v>
      </c>
      <c r="B29" s="41" t="s">
        <v>167</v>
      </c>
      <c r="C29" s="41" t="s">
        <v>79</v>
      </c>
      <c r="D29" s="57" t="s">
        <v>8</v>
      </c>
      <c r="E29" s="57" t="s">
        <v>8</v>
      </c>
      <c r="F29" s="57">
        <f>(115685+252755)/(214230+430315)</f>
        <v>0.57162804769255826</v>
      </c>
      <c r="G29" s="57">
        <f>(4725+1430)/(1788695+352575)</f>
        <v>2.8744623517818865E-3</v>
      </c>
      <c r="H29" s="21" t="s">
        <v>8</v>
      </c>
      <c r="I29" s="5">
        <f>F29/G29</f>
        <v>198.86433626038087</v>
      </c>
      <c r="J29" s="20" t="s">
        <v>8</v>
      </c>
      <c r="K29" s="20" t="s">
        <v>8</v>
      </c>
      <c r="L29" s="41" t="s">
        <v>80</v>
      </c>
      <c r="M29" s="41" t="s">
        <v>8</v>
      </c>
      <c r="N29" s="41" t="s">
        <v>139</v>
      </c>
    </row>
    <row r="30" spans="1:14" s="1" customFormat="1" x14ac:dyDescent="0.25">
      <c r="A30" s="13"/>
      <c r="B30" s="13"/>
    </row>
    <row r="36" ht="73.2" customHeight="1" x14ac:dyDescent="0.25"/>
  </sheetData>
  <autoFilter ref="A12:N29" xr:uid="{3845D6DA-E790-43BF-8BC2-2A6501FADA93}"/>
  <mergeCells count="13">
    <mergeCell ref="L11:N11"/>
    <mergeCell ref="H11:I11"/>
    <mergeCell ref="J11:K11"/>
    <mergeCell ref="A11:C11"/>
    <mergeCell ref="D11:G11"/>
    <mergeCell ref="B7:C7"/>
    <mergeCell ref="B8:C8"/>
    <mergeCell ref="A9:C9"/>
    <mergeCell ref="A1:C1"/>
    <mergeCell ref="A2:C2"/>
    <mergeCell ref="A4:C4"/>
    <mergeCell ref="B5:C5"/>
    <mergeCell ref="B6:C6"/>
  </mergeCells>
  <conditionalFormatting sqref="H13:I29">
    <cfRule type="cellIs" dxfId="7" priority="1" operator="equal">
      <formula>"N/A"</formula>
    </cfRule>
    <cfRule type="cellIs" dxfId="6" priority="2" operator="greaterThanOrEqual">
      <formula>2</formula>
    </cfRule>
    <cfRule type="cellIs" dxfId="5" priority="3" operator="greaterThanOrEqual">
      <formula>1.1</formula>
    </cfRule>
    <cfRule type="cellIs" dxfId="4" priority="4" operator="lessThan">
      <formula>1.1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5BD03-6EF5-4BCA-B0B5-5C1E7412E2B3}">
  <dimension ref="A1:N34"/>
  <sheetViews>
    <sheetView zoomScaleNormal="100" workbookViewId="0">
      <pane xSplit="2" topLeftCell="E1" activePane="topRight" state="frozen"/>
      <selection activeCell="B1" sqref="B1"/>
      <selection pane="topRight" activeCell="A13" sqref="A13"/>
    </sheetView>
  </sheetViews>
  <sheetFormatPr defaultColWidth="8.69921875" defaultRowHeight="13.8" x14ac:dyDescent="0.25"/>
  <cols>
    <col min="1" max="1" width="17.5" customWidth="1"/>
    <col min="2" max="2" width="43.69921875" customWidth="1"/>
    <col min="3" max="3" width="69.19921875" customWidth="1"/>
    <col min="4" max="4" width="15.8984375" customWidth="1"/>
    <col min="5" max="8" width="14" customWidth="1"/>
    <col min="9" max="9" width="15.59765625" customWidth="1"/>
    <col min="10" max="10" width="24" customWidth="1"/>
    <col min="11" max="11" width="25.69921875" customWidth="1"/>
    <col min="12" max="12" width="25" customWidth="1"/>
    <col min="13" max="13" width="21.5" customWidth="1"/>
    <col min="14" max="14" width="32.69921875" customWidth="1"/>
  </cols>
  <sheetData>
    <row r="1" spans="1:14" x14ac:dyDescent="0.25">
      <c r="A1" s="67" t="s">
        <v>0</v>
      </c>
      <c r="B1" s="67"/>
      <c r="C1" s="67"/>
    </row>
    <row r="2" spans="1:14" ht="13.95" customHeight="1" x14ac:dyDescent="0.25">
      <c r="A2" s="67" t="s">
        <v>162</v>
      </c>
      <c r="B2" s="67"/>
      <c r="C2" s="67"/>
    </row>
    <row r="4" spans="1:14" ht="17.399999999999999" x14ac:dyDescent="0.25">
      <c r="A4" s="68" t="s">
        <v>1</v>
      </c>
      <c r="B4" s="69"/>
      <c r="C4" s="70"/>
    </row>
    <row r="5" spans="1:14" x14ac:dyDescent="0.25">
      <c r="A5" s="29" t="s">
        <v>140</v>
      </c>
      <c r="B5" s="30"/>
      <c r="C5" s="31"/>
    </row>
    <row r="6" spans="1:14" x14ac:dyDescent="0.25">
      <c r="A6" s="32" t="s">
        <v>2</v>
      </c>
      <c r="B6" s="62" t="s">
        <v>3</v>
      </c>
      <c r="C6" s="63"/>
      <c r="D6" s="2"/>
      <c r="N6" s="2"/>
    </row>
    <row r="7" spans="1:14" x14ac:dyDescent="0.25">
      <c r="A7" s="33" t="s">
        <v>4</v>
      </c>
      <c r="B7" s="62" t="s">
        <v>5</v>
      </c>
      <c r="C7" s="63"/>
      <c r="D7" s="2"/>
      <c r="N7" s="2"/>
    </row>
    <row r="8" spans="1:14" x14ac:dyDescent="0.25">
      <c r="A8" s="34" t="s">
        <v>6</v>
      </c>
      <c r="B8" s="62" t="s">
        <v>7</v>
      </c>
      <c r="C8" s="63"/>
      <c r="D8" s="2"/>
      <c r="N8" s="2"/>
    </row>
    <row r="9" spans="1:14" x14ac:dyDescent="0.25">
      <c r="A9" s="35" t="s">
        <v>8</v>
      </c>
      <c r="B9" s="62" t="s">
        <v>9</v>
      </c>
      <c r="C9" s="63"/>
      <c r="D9" s="2"/>
      <c r="N9" s="2"/>
    </row>
    <row r="10" spans="1:14" ht="102" customHeight="1" x14ac:dyDescent="0.25">
      <c r="A10" s="64" t="s">
        <v>11</v>
      </c>
      <c r="B10" s="65"/>
      <c r="C10" s="66"/>
      <c r="D10" s="2"/>
      <c r="N10" s="2"/>
    </row>
    <row r="11" spans="1:14" x14ac:dyDescent="0.25">
      <c r="A11" s="42"/>
      <c r="B11" s="43"/>
      <c r="C11" s="44"/>
      <c r="D11" s="2"/>
      <c r="N11" s="2"/>
    </row>
    <row r="12" spans="1:14" ht="18.45" customHeight="1" x14ac:dyDescent="0.25">
      <c r="A12" s="75" t="s">
        <v>12</v>
      </c>
      <c r="B12" s="75"/>
      <c r="C12" s="75"/>
      <c r="D12" s="77" t="s">
        <v>13</v>
      </c>
      <c r="E12" s="78"/>
      <c r="F12" s="78"/>
      <c r="G12" s="78"/>
      <c r="H12" s="78"/>
      <c r="I12" s="79"/>
      <c r="J12" s="75" t="s">
        <v>14</v>
      </c>
      <c r="K12" s="75"/>
      <c r="L12" s="75"/>
      <c r="M12" s="75"/>
      <c r="N12" s="18" t="s">
        <v>16</v>
      </c>
    </row>
    <row r="13" spans="1:14" ht="27.6" x14ac:dyDescent="0.25">
      <c r="A13" s="3" t="s">
        <v>17</v>
      </c>
      <c r="B13" s="3" t="s">
        <v>92</v>
      </c>
      <c r="C13" s="3" t="s">
        <v>19</v>
      </c>
      <c r="D13" s="3" t="s">
        <v>141</v>
      </c>
      <c r="E13" s="3" t="s">
        <v>142</v>
      </c>
      <c r="F13" s="3" t="s">
        <v>143</v>
      </c>
      <c r="G13" s="3" t="s">
        <v>144</v>
      </c>
      <c r="H13" s="3" t="s">
        <v>145</v>
      </c>
      <c r="I13" s="3" t="s">
        <v>146</v>
      </c>
      <c r="J13" s="3" t="s">
        <v>147</v>
      </c>
      <c r="K13" s="3" t="s">
        <v>148</v>
      </c>
      <c r="L13" s="3" t="s">
        <v>149</v>
      </c>
      <c r="M13" s="3" t="s">
        <v>150</v>
      </c>
      <c r="N13" s="3" t="s">
        <v>28</v>
      </c>
    </row>
    <row r="14" spans="1:14" ht="96.6" x14ac:dyDescent="0.25">
      <c r="A14" s="9" t="s">
        <v>30</v>
      </c>
      <c r="B14" s="41" t="s">
        <v>226</v>
      </c>
      <c r="C14" s="41" t="s">
        <v>157</v>
      </c>
      <c r="D14" s="60">
        <v>0.17530000000000001</v>
      </c>
      <c r="E14" s="6" t="s">
        <v>8</v>
      </c>
      <c r="F14" s="6" t="s">
        <v>8</v>
      </c>
      <c r="G14" s="60">
        <v>0.24099999999999999</v>
      </c>
      <c r="H14" s="60">
        <v>0.1799</v>
      </c>
      <c r="I14" s="60">
        <v>0.2</v>
      </c>
      <c r="J14" s="5" t="s">
        <v>8</v>
      </c>
      <c r="K14" s="5" t="s">
        <v>8</v>
      </c>
      <c r="L14" s="5">
        <f t="shared" ref="L14:L26" si="0">G14/D14</f>
        <v>1.3747860810039929</v>
      </c>
      <c r="M14" s="5">
        <f>I14/H14</f>
        <v>1.1117287381878822</v>
      </c>
      <c r="N14" s="16" t="s">
        <v>239</v>
      </c>
    </row>
    <row r="15" spans="1:14" ht="55.2" x14ac:dyDescent="0.25">
      <c r="A15" s="9" t="s">
        <v>30</v>
      </c>
      <c r="B15" s="41" t="s">
        <v>227</v>
      </c>
      <c r="C15" s="41" t="s">
        <v>158</v>
      </c>
      <c r="D15" s="60">
        <v>0.25823000000000002</v>
      </c>
      <c r="E15" s="6" t="s">
        <v>8</v>
      </c>
      <c r="F15" s="6" t="s">
        <v>8</v>
      </c>
      <c r="G15" s="60">
        <v>0.2359</v>
      </c>
      <c r="H15" s="60">
        <v>0.25747999999999999</v>
      </c>
      <c r="I15" s="60">
        <v>0.23058999999999999</v>
      </c>
      <c r="J15" s="5" t="s">
        <v>8</v>
      </c>
      <c r="K15" s="5" t="s">
        <v>8</v>
      </c>
      <c r="L15" s="5">
        <f t="shared" si="0"/>
        <v>0.91352670100298183</v>
      </c>
      <c r="M15" s="5">
        <f t="shared" ref="M15:M19" si="1">I15/H15</f>
        <v>0.89556470405468391</v>
      </c>
      <c r="N15" s="16" t="s">
        <v>239</v>
      </c>
    </row>
    <row r="16" spans="1:14" ht="55.2" x14ac:dyDescent="0.25">
      <c r="A16" s="9" t="s">
        <v>30</v>
      </c>
      <c r="B16" s="41" t="s">
        <v>228</v>
      </c>
      <c r="C16" s="41" t="s">
        <v>159</v>
      </c>
      <c r="D16" s="60">
        <v>0.17269999999999999</v>
      </c>
      <c r="E16" s="6" t="s">
        <v>8</v>
      </c>
      <c r="F16" s="6" t="s">
        <v>8</v>
      </c>
      <c r="G16" s="60">
        <v>0.1978</v>
      </c>
      <c r="H16" s="60">
        <v>0.17380000000000001</v>
      </c>
      <c r="I16" s="60">
        <v>0.18890000000000001</v>
      </c>
      <c r="J16" s="5" t="s">
        <v>8</v>
      </c>
      <c r="K16" s="5" t="s">
        <v>8</v>
      </c>
      <c r="L16" s="5">
        <f t="shared" si="0"/>
        <v>1.1453387376954256</v>
      </c>
      <c r="M16" s="5">
        <f t="shared" si="1"/>
        <v>1.0868814729574223</v>
      </c>
      <c r="N16" s="16" t="s">
        <v>239</v>
      </c>
    </row>
    <row r="17" spans="1:14" ht="55.2" x14ac:dyDescent="0.25">
      <c r="A17" s="9" t="s">
        <v>30</v>
      </c>
      <c r="B17" s="41" t="s">
        <v>229</v>
      </c>
      <c r="C17" s="41" t="s">
        <v>160</v>
      </c>
      <c r="D17" s="60">
        <v>0.21440000000000001</v>
      </c>
      <c r="E17" s="6" t="s">
        <v>8</v>
      </c>
      <c r="F17" s="6" t="s">
        <v>8</v>
      </c>
      <c r="G17" s="60">
        <v>0.53120000000000001</v>
      </c>
      <c r="H17" s="60">
        <v>0.2404</v>
      </c>
      <c r="I17" s="60">
        <v>0.61739999999999995</v>
      </c>
      <c r="J17" s="5" t="s">
        <v>8</v>
      </c>
      <c r="K17" s="5" t="s">
        <v>8</v>
      </c>
      <c r="L17" s="5">
        <f t="shared" si="0"/>
        <v>2.4776119402985075</v>
      </c>
      <c r="M17" s="5">
        <f t="shared" si="1"/>
        <v>2.5682196339434276</v>
      </c>
      <c r="N17" s="16" t="s">
        <v>239</v>
      </c>
    </row>
    <row r="18" spans="1:14" ht="55.2" x14ac:dyDescent="0.25">
      <c r="A18" s="9" t="s">
        <v>30</v>
      </c>
      <c r="B18" s="41" t="s">
        <v>230</v>
      </c>
      <c r="C18" s="41" t="s">
        <v>38</v>
      </c>
      <c r="D18" s="60">
        <v>0.13700000000000001</v>
      </c>
      <c r="E18" s="6" t="s">
        <v>8</v>
      </c>
      <c r="F18" s="6" t="s">
        <v>8</v>
      </c>
      <c r="G18" s="60">
        <v>7.2400000000000006E-2</v>
      </c>
      <c r="H18" s="60">
        <v>0.13250000000000001</v>
      </c>
      <c r="I18" s="60">
        <v>0.1028</v>
      </c>
      <c r="J18" s="5" t="s">
        <v>8</v>
      </c>
      <c r="K18" s="5" t="s">
        <v>8</v>
      </c>
      <c r="L18" s="5">
        <f t="shared" si="0"/>
        <v>0.52846715328467153</v>
      </c>
      <c r="M18" s="5">
        <f t="shared" si="1"/>
        <v>0.77584905660377357</v>
      </c>
      <c r="N18" s="16" t="s">
        <v>239</v>
      </c>
    </row>
    <row r="19" spans="1:14" ht="55.2" x14ac:dyDescent="0.25">
      <c r="A19" s="9" t="s">
        <v>30</v>
      </c>
      <c r="B19" s="41" t="s">
        <v>231</v>
      </c>
      <c r="C19" s="41" t="s">
        <v>161</v>
      </c>
      <c r="D19" s="60">
        <v>0.17449999999999999</v>
      </c>
      <c r="E19" s="6" t="s">
        <v>8</v>
      </c>
      <c r="F19" s="6" t="s">
        <v>8</v>
      </c>
      <c r="G19" s="60">
        <v>0.21890000000000001</v>
      </c>
      <c r="H19" s="60">
        <v>0.1772</v>
      </c>
      <c r="I19" s="60">
        <v>0.2903</v>
      </c>
      <c r="J19" s="5" t="s">
        <v>8</v>
      </c>
      <c r="K19" s="5" t="s">
        <v>8</v>
      </c>
      <c r="L19" s="5">
        <f t="shared" si="0"/>
        <v>1.2544412607449857</v>
      </c>
      <c r="M19" s="5">
        <f t="shared" si="1"/>
        <v>1.6382618510158014</v>
      </c>
      <c r="N19" s="16" t="s">
        <v>239</v>
      </c>
    </row>
    <row r="20" spans="1:14" ht="55.2" x14ac:dyDescent="0.25">
      <c r="A20" s="9" t="s">
        <v>30</v>
      </c>
      <c r="B20" s="41" t="s">
        <v>232</v>
      </c>
      <c r="C20" s="41" t="s">
        <v>151</v>
      </c>
      <c r="D20" s="59">
        <v>4.1000000000000002E-2</v>
      </c>
      <c r="E20" s="59" t="s">
        <v>8</v>
      </c>
      <c r="F20" s="59">
        <v>7.0999999999999994E-2</v>
      </c>
      <c r="G20" s="59">
        <v>8.1000000000000003E-2</v>
      </c>
      <c r="H20" s="59" t="s">
        <v>8</v>
      </c>
      <c r="I20" s="59" t="s">
        <v>8</v>
      </c>
      <c r="J20" s="5" t="s">
        <v>8</v>
      </c>
      <c r="K20" s="5">
        <f>F20/D20</f>
        <v>1.7317073170731705</v>
      </c>
      <c r="L20" s="5">
        <f t="shared" si="0"/>
        <v>1.975609756097561</v>
      </c>
      <c r="M20" s="5" t="s">
        <v>8</v>
      </c>
      <c r="N20" s="10" t="s">
        <v>152</v>
      </c>
    </row>
    <row r="21" spans="1:14" ht="118.2" customHeight="1" x14ac:dyDescent="0.25">
      <c r="A21" s="11" t="s">
        <v>52</v>
      </c>
      <c r="B21" s="61" t="s">
        <v>233</v>
      </c>
      <c r="C21" s="41" t="s">
        <v>241</v>
      </c>
      <c r="D21" s="59">
        <v>0.16200000000000001</v>
      </c>
      <c r="E21" s="59" t="s">
        <v>8</v>
      </c>
      <c r="F21" s="59">
        <v>0.29299999999999998</v>
      </c>
      <c r="G21" s="59">
        <v>0.24199999999999999</v>
      </c>
      <c r="H21" s="59" t="s">
        <v>8</v>
      </c>
      <c r="I21" s="59" t="s">
        <v>8</v>
      </c>
      <c r="J21" s="5" t="s">
        <v>8</v>
      </c>
      <c r="K21" s="5">
        <f t="shared" ref="K21:K26" si="2">F21/D21</f>
        <v>1.8086419753086418</v>
      </c>
      <c r="L21" s="5">
        <f t="shared" si="0"/>
        <v>1.4938271604938271</v>
      </c>
      <c r="M21" s="5" t="s">
        <v>8</v>
      </c>
      <c r="N21" s="10" t="s">
        <v>152</v>
      </c>
    </row>
    <row r="22" spans="1:14" ht="41.4" x14ac:dyDescent="0.25">
      <c r="A22" s="11" t="s">
        <v>52</v>
      </c>
      <c r="B22" s="58" t="s">
        <v>234</v>
      </c>
      <c r="C22" s="41" t="s">
        <v>240</v>
      </c>
      <c r="D22" s="59">
        <v>0.14199999999999999</v>
      </c>
      <c r="E22" s="59" t="s">
        <v>8</v>
      </c>
      <c r="F22" s="60">
        <v>0.32700000000000001</v>
      </c>
      <c r="G22" s="60">
        <v>0.33400000000000002</v>
      </c>
      <c r="H22" s="59" t="s">
        <v>8</v>
      </c>
      <c r="I22" s="59" t="s">
        <v>8</v>
      </c>
      <c r="J22" s="5" t="s">
        <v>8</v>
      </c>
      <c r="K22" s="5">
        <f t="shared" si="2"/>
        <v>2.302816901408451</v>
      </c>
      <c r="L22" s="5">
        <f t="shared" si="0"/>
        <v>2.3521126760563384</v>
      </c>
      <c r="M22" s="5" t="s">
        <v>8</v>
      </c>
      <c r="N22" s="10" t="s">
        <v>152</v>
      </c>
    </row>
    <row r="23" spans="1:14" ht="55.2" x14ac:dyDescent="0.25">
      <c r="A23" s="9" t="s">
        <v>8</v>
      </c>
      <c r="B23" s="41" t="s">
        <v>235</v>
      </c>
      <c r="C23" s="41" t="s">
        <v>153</v>
      </c>
      <c r="D23" s="60">
        <v>0.35</v>
      </c>
      <c r="E23" s="59" t="s">
        <v>8</v>
      </c>
      <c r="F23" s="60">
        <v>0.81</v>
      </c>
      <c r="G23" s="60">
        <v>0.76</v>
      </c>
      <c r="H23" s="59" t="s">
        <v>8</v>
      </c>
      <c r="I23" s="59" t="s">
        <v>8</v>
      </c>
      <c r="J23" s="5" t="s">
        <v>8</v>
      </c>
      <c r="K23" s="5">
        <f t="shared" si="2"/>
        <v>2.3142857142857145</v>
      </c>
      <c r="L23" s="5">
        <f t="shared" si="0"/>
        <v>2.1714285714285717</v>
      </c>
      <c r="M23" s="5" t="s">
        <v>8</v>
      </c>
      <c r="N23" s="10" t="s">
        <v>152</v>
      </c>
    </row>
    <row r="24" spans="1:14" ht="69" x14ac:dyDescent="0.25">
      <c r="A24" s="9" t="s">
        <v>30</v>
      </c>
      <c r="B24" s="41" t="s">
        <v>236</v>
      </c>
      <c r="C24" s="41" t="s">
        <v>154</v>
      </c>
      <c r="D24" s="60">
        <v>0.107</v>
      </c>
      <c r="E24" s="59" t="s">
        <v>8</v>
      </c>
      <c r="F24" s="60">
        <v>0.28299999999999997</v>
      </c>
      <c r="G24" s="60">
        <v>0.28799999999999998</v>
      </c>
      <c r="H24" s="59" t="s">
        <v>8</v>
      </c>
      <c r="I24" s="59" t="s">
        <v>8</v>
      </c>
      <c r="J24" s="5" t="s">
        <v>8</v>
      </c>
      <c r="K24" s="5">
        <f t="shared" si="2"/>
        <v>2.6448598130841119</v>
      </c>
      <c r="L24" s="5">
        <f t="shared" si="0"/>
        <v>2.6915887850467288</v>
      </c>
      <c r="M24" s="5" t="s">
        <v>8</v>
      </c>
      <c r="N24" s="10" t="s">
        <v>152</v>
      </c>
    </row>
    <row r="25" spans="1:14" ht="41.4" x14ac:dyDescent="0.25">
      <c r="A25" s="9" t="s">
        <v>30</v>
      </c>
      <c r="B25" s="41" t="s">
        <v>237</v>
      </c>
      <c r="C25" s="41" t="s">
        <v>155</v>
      </c>
      <c r="D25" s="60">
        <v>0.155</v>
      </c>
      <c r="E25" s="59" t="s">
        <v>8</v>
      </c>
      <c r="F25" s="60">
        <v>0.57499999999999996</v>
      </c>
      <c r="G25" s="60">
        <v>0.48699999999999999</v>
      </c>
      <c r="H25" s="59" t="s">
        <v>8</v>
      </c>
      <c r="I25" s="59" t="s">
        <v>8</v>
      </c>
      <c r="J25" s="5" t="s">
        <v>8</v>
      </c>
      <c r="K25" s="5">
        <f t="shared" si="2"/>
        <v>3.7096774193548385</v>
      </c>
      <c r="L25" s="5">
        <f t="shared" si="0"/>
        <v>3.1419354838709679</v>
      </c>
      <c r="M25" s="5" t="s">
        <v>8</v>
      </c>
      <c r="N25" s="4" t="s">
        <v>152</v>
      </c>
    </row>
    <row r="26" spans="1:14" ht="41.4" x14ac:dyDescent="0.25">
      <c r="A26" s="9" t="s">
        <v>30</v>
      </c>
      <c r="B26" s="41" t="s">
        <v>238</v>
      </c>
      <c r="C26" s="41" t="s">
        <v>156</v>
      </c>
      <c r="D26" s="60">
        <v>5.5E-2</v>
      </c>
      <c r="E26" s="59" t="s">
        <v>8</v>
      </c>
      <c r="F26" s="60">
        <v>0.30199999999999999</v>
      </c>
      <c r="G26" s="60">
        <v>0.255</v>
      </c>
      <c r="H26" s="59" t="s">
        <v>8</v>
      </c>
      <c r="I26" s="59" t="s">
        <v>8</v>
      </c>
      <c r="J26" s="5" t="s">
        <v>8</v>
      </c>
      <c r="K26" s="5">
        <f t="shared" si="2"/>
        <v>5.4909090909090903</v>
      </c>
      <c r="L26" s="5">
        <f t="shared" si="0"/>
        <v>4.6363636363636367</v>
      </c>
      <c r="M26" s="5" t="s">
        <v>8</v>
      </c>
      <c r="N26" s="4" t="s">
        <v>152</v>
      </c>
    </row>
    <row r="34" ht="70.95" customHeight="1" x14ac:dyDescent="0.25"/>
  </sheetData>
  <autoFilter ref="A13:A26" xr:uid="{FF55BD03-6EF5-4BCA-B0B5-5C1E7412E2B3}"/>
  <mergeCells count="11">
    <mergeCell ref="A12:C12"/>
    <mergeCell ref="D12:I12"/>
    <mergeCell ref="J12:M12"/>
    <mergeCell ref="B6:C6"/>
    <mergeCell ref="B7:C7"/>
    <mergeCell ref="A10:C10"/>
    <mergeCell ref="A1:C1"/>
    <mergeCell ref="A2:C2"/>
    <mergeCell ref="A4:C4"/>
    <mergeCell ref="B9:C9"/>
    <mergeCell ref="B8:C8"/>
  </mergeCells>
  <conditionalFormatting sqref="J14:M26">
    <cfRule type="cellIs" dxfId="3" priority="1" operator="equal">
      <formula>"N/A"</formula>
    </cfRule>
    <cfRule type="cellIs" dxfId="2" priority="2" operator="greaterThanOrEqual">
      <formula>2</formula>
    </cfRule>
    <cfRule type="cellIs" dxfId="1" priority="3" operator="greaterThanOrEqual">
      <formula>1.1</formula>
    </cfRule>
    <cfRule type="cellIs" dxfId="0" priority="4" operator="lessThan">
      <formula>1.1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958589-ed43-4b88-87f6-f92dbe30035f" xsi:nil="true"/>
    <lcf76f155ced4ddcb4097134ff3c332f xmlns="cdfe793c-46b0-429d-afd8-22a2643f1af1">
      <Terms xmlns="http://schemas.microsoft.com/office/infopath/2007/PartnerControls"/>
    </lcf76f155ced4ddcb4097134ff3c332f>
    <SharedWithUsers xmlns="28958589-ed43-4b88-87f6-f92dbe30035f">
      <UserInfo>
        <DisplayName>Brian O’Rourke</DisplayName>
        <AccountId>1751</AccountId>
        <AccountType/>
      </UserInfo>
      <UserInfo>
        <DisplayName>Hailey Akah</DisplayName>
        <AccountId>21</AccountId>
        <AccountType/>
      </UserInfo>
      <UserInfo>
        <DisplayName>Becky Carroll</DisplayName>
        <AccountId>237</AccountId>
        <AccountType/>
      </UserInfo>
      <UserInfo>
        <DisplayName>Carrie Almasi</DisplayName>
        <AccountId>16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8795992B92FF4EAA0374B58BE8A2A1" ma:contentTypeVersion="18" ma:contentTypeDescription="Create a new document." ma:contentTypeScope="" ma:versionID="2dd559012a49b46cf71819eb7ce9d32a">
  <xsd:schema xmlns:xsd="http://www.w3.org/2001/XMLSchema" xmlns:xs="http://www.w3.org/2001/XMLSchema" xmlns:p="http://schemas.microsoft.com/office/2006/metadata/properties" xmlns:ns2="cdfe793c-46b0-429d-afd8-22a2643f1af1" xmlns:ns3="28958589-ed43-4b88-87f6-f92dbe30035f" targetNamespace="http://schemas.microsoft.com/office/2006/metadata/properties" ma:root="true" ma:fieldsID="9d2621eb36783d04b074ba685949df88" ns2:_="" ns3:_="">
    <xsd:import namespace="cdfe793c-46b0-429d-afd8-22a2643f1af1"/>
    <xsd:import namespace="28958589-ed43-4b88-87f6-f92dbe3003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e793c-46b0-429d-afd8-22a2643f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ef54cf-538f-42f6-9b16-c735c2681b4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958589-ed43-4b88-87f6-f92dbe3003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beb93f-4f45-41ac-9c8b-3c5fa95c4769}" ma:internalName="TaxCatchAll" ma:showField="CatchAllData" ma:web="28958589-ed43-4b88-87f6-f92dbe3003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F213E5-1BEE-4958-BCC6-992CBF8991D2}">
  <ds:schemaRefs>
    <ds:schemaRef ds:uri="http://schemas.microsoft.com/office/2006/metadata/properties"/>
    <ds:schemaRef ds:uri="http://schemas.microsoft.com/office/infopath/2007/PartnerControls"/>
    <ds:schemaRef ds:uri="28958589-ed43-4b88-87f6-f92dbe30035f"/>
    <ds:schemaRef ds:uri="cdfe793c-46b0-429d-afd8-22a2643f1af1"/>
  </ds:schemaRefs>
</ds:datastoreItem>
</file>

<file path=customXml/itemProps2.xml><?xml version="1.0" encoding="utf-8"?>
<ds:datastoreItem xmlns:ds="http://schemas.openxmlformats.org/officeDocument/2006/customXml" ds:itemID="{871B4BFA-43C6-40C8-A681-747263CBA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e793c-46b0-429d-afd8-22a2643f1af1"/>
    <ds:schemaRef ds:uri="28958589-ed43-4b88-87f6-f92dbe300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79EF39-0FE4-4566-9F88-B6E6464A29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Race and Ethnicity Appendix</vt:lpstr>
      <vt:lpstr>Disability Appendix</vt:lpstr>
      <vt:lpstr>Education-Income Appendix</vt:lpstr>
      <vt:lpstr>LGBTQ+ Appendix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LLaFlair@healthpolicyohio.org;HAkah@healthpolicyohio.org</dc:creator>
  <cp:keywords/>
  <dc:description/>
  <cp:lastModifiedBy>Hailey Akah</cp:lastModifiedBy>
  <cp:revision/>
  <dcterms:created xsi:type="dcterms:W3CDTF">2021-02-24T19:25:07Z</dcterms:created>
  <dcterms:modified xsi:type="dcterms:W3CDTF">2024-03-29T17:46:58Z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0x010100FC8795992B92FF4EAA0374B58BE8A2A1</vt:lpwstr>
  </property>
  <property fmtid="{D5CDD505-2E9C-101B-9397-08002B2CF9AE}" pid="3" name="MediaServiceImageTags">
    <vt:lpwstr/>
  </property>
</Properties>
</file>