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hpio.sharepoint.com/sites/HPIO/Shared Documents/Company/Dashboard 5.0 - 2023/_Final/"/>
    </mc:Choice>
  </mc:AlternateContent>
  <xr:revisionPtr revIDLastSave="250" documentId="8_{4C931866-689F-47B2-87CC-AAC87D6E0249}" xr6:coauthVersionLast="47" xr6:coauthVersionMax="47" xr10:uidLastSave="{CCF83A85-29F9-41CA-83E8-97188D662E2E}"/>
  <bookViews>
    <workbookView xWindow="-108" yWindow="-108" windowWidth="23256" windowHeight="12456" xr2:uid="{396B257D-691B-4C2E-8E2E-B6E069510094}"/>
  </bookViews>
  <sheets>
    <sheet name="Race and Ethnicity Appendix" sheetId="1" r:id="rId1"/>
    <sheet name="Disability Appendix" sheetId="4" r:id="rId2"/>
    <sheet name="Education-Income Appendix" sheetId="2" r:id="rId3"/>
    <sheet name="LGBTQ+ Appendix" sheetId="6" r:id="rId4"/>
  </sheets>
  <definedNames>
    <definedName name="_xlnm._FilterDatabase" localSheetId="1" hidden="1">'Disability Appendix'!$A$12:$I$25</definedName>
    <definedName name="_xlnm._FilterDatabase" localSheetId="2" hidden="1">'Education-Income Appendix'!$A$12:$N$29</definedName>
    <definedName name="_xlnm._FilterDatabase" localSheetId="3" hidden="1">'LGBTQ+ Appendix'!$A$13:$A$26</definedName>
    <definedName name="_xlnm._FilterDatabase" localSheetId="0" hidden="1">'Race and Ethnicity Appendix'!$A$13:$M$44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1" l="1"/>
  <c r="L23" i="6"/>
  <c r="K20" i="6" l="1"/>
  <c r="I20" i="1"/>
  <c r="I19" i="1"/>
  <c r="I25" i="2"/>
  <c r="I29" i="2"/>
  <c r="I28" i="2"/>
  <c r="I27" i="2"/>
  <c r="I15" i="1"/>
  <c r="I16" i="1"/>
  <c r="I17" i="1"/>
  <c r="I18" i="1"/>
  <c r="I21" i="1"/>
  <c r="I24" i="1"/>
  <c r="I27" i="1"/>
  <c r="I28" i="1"/>
  <c r="I30" i="1"/>
  <c r="I31" i="1"/>
  <c r="I35" i="1"/>
  <c r="I36" i="1"/>
  <c r="I37" i="1"/>
  <c r="I38" i="1"/>
  <c r="I40" i="1"/>
  <c r="I41" i="1"/>
  <c r="I42" i="1"/>
  <c r="H15" i="1"/>
  <c r="H16" i="1"/>
  <c r="H17" i="1"/>
  <c r="H18" i="1"/>
  <c r="H19" i="1"/>
  <c r="H20" i="1"/>
  <c r="H21" i="1"/>
  <c r="H24" i="1"/>
  <c r="H26" i="1"/>
  <c r="H27" i="1"/>
  <c r="H28" i="1"/>
  <c r="H30" i="1"/>
  <c r="H31" i="1"/>
  <c r="H35" i="1"/>
  <c r="H36" i="1"/>
  <c r="H37" i="1"/>
  <c r="H38" i="1"/>
  <c r="H40" i="1"/>
  <c r="H42" i="1"/>
  <c r="H43" i="1"/>
  <c r="H44" i="1"/>
  <c r="H14" i="1"/>
  <c r="H17" i="2"/>
  <c r="G20" i="2"/>
  <c r="I20" i="2" s="1"/>
  <c r="D39" i="1"/>
  <c r="G22" i="2"/>
  <c r="F22" i="2"/>
  <c r="E23" i="4"/>
  <c r="D23" i="4"/>
  <c r="E32" i="1"/>
  <c r="E20" i="4"/>
  <c r="D20" i="4"/>
  <c r="M21" i="6"/>
  <c r="I26" i="6"/>
  <c r="H26" i="6"/>
  <c r="G26" i="6"/>
  <c r="D26" i="6"/>
  <c r="E33" i="1"/>
  <c r="F33" i="1"/>
  <c r="G33" i="1"/>
  <c r="D33" i="1"/>
  <c r="E26" i="2"/>
  <c r="D26" i="2"/>
  <c r="H26" i="2" s="1"/>
  <c r="G39" i="1"/>
  <c r="F39" i="1"/>
  <c r="E39" i="1"/>
  <c r="H25" i="2"/>
  <c r="F22" i="4"/>
  <c r="F19" i="4"/>
  <c r="F17" i="4"/>
  <c r="F34" i="1"/>
  <c r="D34" i="1"/>
  <c r="E34" i="1"/>
  <c r="E25" i="1"/>
  <c r="D25" i="1"/>
  <c r="E23" i="1"/>
  <c r="G24" i="2"/>
  <c r="F24" i="2"/>
  <c r="I24" i="2" s="1"/>
  <c r="E24" i="2"/>
  <c r="D24" i="2"/>
  <c r="G34" i="1"/>
  <c r="F23" i="2"/>
  <c r="G23" i="2"/>
  <c r="D22" i="1"/>
  <c r="H22" i="1" s="1"/>
  <c r="D29" i="1"/>
  <c r="E29" i="1"/>
  <c r="G29" i="1"/>
  <c r="F29" i="1"/>
  <c r="D32" i="1"/>
  <c r="I32" i="1" s="1"/>
  <c r="F23" i="1"/>
  <c r="D23" i="1"/>
  <c r="L22" i="6"/>
  <c r="L24" i="6"/>
  <c r="L25" i="6"/>
  <c r="L21" i="6"/>
  <c r="M22" i="6"/>
  <c r="M23" i="6"/>
  <c r="M24" i="6"/>
  <c r="M25" i="6"/>
  <c r="J19" i="6"/>
  <c r="K19" i="6"/>
  <c r="L19" i="6"/>
  <c r="L20" i="6"/>
  <c r="J15" i="6"/>
  <c r="K15" i="6"/>
  <c r="L15" i="6"/>
  <c r="J16" i="6"/>
  <c r="K16" i="6"/>
  <c r="L16" i="6"/>
  <c r="J17" i="6"/>
  <c r="K17" i="6"/>
  <c r="L17" i="6"/>
  <c r="J18" i="6"/>
  <c r="K18" i="6"/>
  <c r="L18" i="6"/>
  <c r="J14" i="6"/>
  <c r="K14" i="6"/>
  <c r="L14" i="6"/>
  <c r="H27" i="2"/>
  <c r="I15" i="2"/>
  <c r="I14" i="2"/>
  <c r="H14" i="2"/>
  <c r="F24" i="4"/>
  <c r="F14" i="4"/>
  <c r="F18" i="4"/>
  <c r="F21" i="4"/>
  <c r="F25" i="4"/>
  <c r="I13" i="2"/>
  <c r="I18" i="2"/>
  <c r="I16" i="2"/>
  <c r="I19" i="2"/>
  <c r="I21" i="2"/>
  <c r="H13" i="2"/>
  <c r="H18" i="2"/>
  <c r="H16" i="2"/>
  <c r="H19" i="2"/>
  <c r="H28" i="2"/>
  <c r="F13" i="4"/>
  <c r="F15" i="4"/>
  <c r="F16" i="4"/>
  <c r="I23" i="1" l="1"/>
  <c r="F23" i="4"/>
  <c r="F20" i="4"/>
  <c r="H24" i="2"/>
  <c r="I22" i="2"/>
  <c r="L26" i="6"/>
  <c r="M26" i="6"/>
  <c r="H25" i="1"/>
  <c r="I33" i="1"/>
  <c r="H39" i="1"/>
  <c r="H33" i="1"/>
  <c r="H32" i="1"/>
  <c r="I39" i="1"/>
  <c r="I23" i="2"/>
  <c r="H29" i="1"/>
  <c r="H23" i="1"/>
  <c r="I34" i="1"/>
  <c r="I29" i="1"/>
  <c r="H34" i="1"/>
  <c r="I22" i="1"/>
</calcChain>
</file>

<file path=xl/sharedStrings.xml><?xml version="1.0" encoding="utf-8"?>
<sst xmlns="http://schemas.openxmlformats.org/spreadsheetml/2006/main" count="624" uniqueCount="257">
  <si>
    <t>Health Policy Institute of Ohio</t>
  </si>
  <si>
    <t>Key</t>
  </si>
  <si>
    <t>Little to no disparity</t>
  </si>
  <si>
    <t>Disparity ratio is less than 1.10.</t>
  </si>
  <si>
    <t>Medium disparity</t>
  </si>
  <si>
    <t>Disparity ratio is greater than or equal to 1.1 and less than 2.</t>
  </si>
  <si>
    <t>Large disparity</t>
  </si>
  <si>
    <t>Disparity ratio is greater than or equal to 2.</t>
  </si>
  <si>
    <t>N/A</t>
  </si>
  <si>
    <t>Not applicable or data is not available</t>
  </si>
  <si>
    <t>*4,445 years of potential life lost per 100,000 population would be avoided if the disparity were eliminated.</t>
  </si>
  <si>
    <t>Note: This appendix provides data on a few additional measures that are not included on the equity profiles in the 2021 Health Value Dashboard (pages 15-18). Disparity ratios were calculated by dividing the outcome (e.g., rate or percent) of comparison groups (i.e., groups that consistently experience worse outcomes and are systematically disadvantaged) by the outcome of the reference group (i.e., the group that most consistently experiences the best outcomes and is systematically advantaged). Disparity ratio thresholds were adapted from Healthy People 2020 criteria. Estimated impact is an estimate of the number of Ohioans from the comparison group that would be impacted if the group experienced the same outcomes as the reference group. For more information, see the methodology.</t>
  </si>
  <si>
    <t>Metric information</t>
  </si>
  <si>
    <t>Data values</t>
  </si>
  <si>
    <t>Disparity ratio</t>
  </si>
  <si>
    <t>Estimated impact</t>
  </si>
  <si>
    <t>Source information</t>
  </si>
  <si>
    <t>Domain</t>
  </si>
  <si>
    <r>
      <t xml:space="preserve">Metric short name. </t>
    </r>
    <r>
      <rPr>
        <sz val="11"/>
        <color theme="0"/>
        <rFont val="Century Gothic"/>
        <family val="1"/>
      </rPr>
      <t>Metric long name</t>
    </r>
    <r>
      <rPr>
        <b/>
        <sz val="11"/>
        <color theme="0"/>
        <rFont val="Century Gothic"/>
        <family val="1"/>
      </rPr>
      <t xml:space="preserve"> </t>
    </r>
    <r>
      <rPr>
        <sz val="11"/>
        <color theme="0"/>
        <rFont val="Century Gothic"/>
        <family val="1"/>
      </rPr>
      <t>(data year)</t>
    </r>
  </si>
  <si>
    <t>Metric description</t>
  </si>
  <si>
    <t>White</t>
  </si>
  <si>
    <t>Black</t>
  </si>
  <si>
    <t>Hispanic</t>
  </si>
  <si>
    <t>Asian American</t>
  </si>
  <si>
    <t>Black/white</t>
  </si>
  <si>
    <t>Hispanic/white</t>
  </si>
  <si>
    <t>Number of Black Ohioans impacted if disparity eliminated</t>
  </si>
  <si>
    <t>Number of Hispanic Ohioans impacted if disparity eliminated</t>
  </si>
  <si>
    <t>Source</t>
  </si>
  <si>
    <t>Racial/ethnic groups as described by the data source</t>
  </si>
  <si>
    <t>Health</t>
  </si>
  <si>
    <r>
      <rPr>
        <b/>
        <sz val="11"/>
        <color rgb="FF000000"/>
        <rFont val="Century Gothic"/>
        <family val="2"/>
      </rPr>
      <t xml:space="preserve">Infant mortality. </t>
    </r>
    <r>
      <rPr>
        <sz val="11"/>
        <color rgb="FF000000"/>
        <rFont val="Century Gothic"/>
        <family val="2"/>
      </rPr>
      <t>Number of infant deaths per 1,000 live births (within 1 year) (2020)</t>
    </r>
  </si>
  <si>
    <t>Number of infant deaths per 1,000 live births (within 1 year).</t>
  </si>
  <si>
    <t>Ohio Department of Health, "2020 Ohio Infant Mortality Annual Report"</t>
  </si>
  <si>
    <t>Asian or Pacific Islander; Black; Hispanic; White</t>
  </si>
  <si>
    <r>
      <rPr>
        <b/>
        <sz val="11"/>
        <color rgb="FF000000"/>
        <rFont val="Century Gothic"/>
        <family val="2"/>
      </rPr>
      <t xml:space="preserve">Premature death. </t>
    </r>
    <r>
      <rPr>
        <sz val="11"/>
        <color rgb="FF000000"/>
        <rFont val="Century Gothic"/>
        <family val="2"/>
      </rPr>
      <t>Average number of years of potential life lost before age 75, per 100,000 population (2018-2019)</t>
    </r>
  </si>
  <si>
    <t>Average number of years of potential life lost before age 75, per 100,000 population.</t>
  </si>
  <si>
    <t>4,445*</t>
  </si>
  <si>
    <t>Web-based Injury Statistics Query and Reporting System (WISQARS) database system, National Center for Injury Prevention and Control, Centers for Disease Control and Prevention, as compiled by State Health Compare, State Health Access Data Assistance Center (SHADAC), University of Minnesota</t>
  </si>
  <si>
    <t>Asian or Pacific Islander; Black or African-American; Hispanic or Latino; White</t>
  </si>
  <si>
    <r>
      <rPr>
        <b/>
        <sz val="11"/>
        <color rgb="FF000000"/>
        <rFont val="Century Gothic"/>
        <family val="2"/>
      </rPr>
      <t xml:space="preserve">Adult diabetes. </t>
    </r>
    <r>
      <rPr>
        <sz val="11"/>
        <color rgb="FF000000"/>
        <rFont val="Century Gothic"/>
        <family val="2"/>
      </rPr>
      <t>Percent of adults who have been told by a health professional that they have diabetes (2021)</t>
    </r>
  </si>
  <si>
    <t>Percent of adults who have been told by a doctor, nurse or other health professional that they have diabetes.</t>
  </si>
  <si>
    <t>Centers for Disease Control and Prevention, Behavioral Risk Factor Surveillance Survey and Disability and Health Data System</t>
  </si>
  <si>
    <t>Black, non-Hispanic; Hispanic; White, non-Hispanic</t>
  </si>
  <si>
    <r>
      <rPr>
        <b/>
        <sz val="11"/>
        <color theme="1"/>
        <rFont val="Century Gothic"/>
        <family val="2"/>
      </rPr>
      <t>Heart disease mortality.</t>
    </r>
    <r>
      <rPr>
        <sz val="11"/>
        <color theme="1"/>
        <rFont val="Century Gothic"/>
        <family val="2"/>
      </rPr>
      <t xml:space="preserve"> Number of deaths due to heart diseases, per 100,000 population (age adjusted)(2020)</t>
    </r>
  </si>
  <si>
    <t>Number of deaths due to heart diseases (ICD-10 codes I00–I09, I11, I13, I20–I51), per 100,000 population, age-adjusted.</t>
  </si>
  <si>
    <t>Ohio Department of Health, Ohio Public Health Information Warehouse</t>
  </si>
  <si>
    <t>Asian or Pacific Islander, non-Hispanic; Black, non-Hispanic; Hispanic; White, non-Hispanic</t>
  </si>
  <si>
    <r>
      <rPr>
        <b/>
        <sz val="11"/>
        <color theme="1"/>
        <rFont val="Century Gothic"/>
        <family val="2"/>
      </rPr>
      <t xml:space="preserve">Poor oral health. </t>
    </r>
    <r>
      <rPr>
        <sz val="11"/>
        <color theme="1"/>
        <rFont val="Century Gothic"/>
        <family val="2"/>
      </rPr>
      <t>Percent of adults, ages 18-64, who have lost six or more teeth because of tooth decay, infection or gum disease (2018-2020)</t>
    </r>
  </si>
  <si>
    <t>Percent of adults ages 18-64 who have lost six or more teeth because of tooth decay, infection or gum disease.</t>
  </si>
  <si>
    <t>Centers for Disease Control and Prevention, Behavioral Risk Factor Surveillance Survey, as compiled by The Commonwealth Fund</t>
  </si>
  <si>
    <t>Black; Latinx/Hispanic; White</t>
  </si>
  <si>
    <r>
      <rPr>
        <b/>
        <sz val="11"/>
        <color rgb="FF000000"/>
        <rFont val="Century Gothic"/>
        <family val="2"/>
      </rPr>
      <t xml:space="preserve">Adult depression. </t>
    </r>
    <r>
      <rPr>
        <sz val="11"/>
        <color rgb="FF000000"/>
        <rFont val="Century Gothic"/>
        <family val="2"/>
      </rPr>
      <t>Percent of adults who have ever been told by a health professional that they have depression (2021)</t>
    </r>
  </si>
  <si>
    <t>Percent of adults who have ever been told by a doctor, nurse or other health professional they have a form of depression.</t>
  </si>
  <si>
    <t>Centers for Disease Control and Prevention, Behavioral Risk Factor Surveillance Survey</t>
  </si>
  <si>
    <t>Access and healthcare system</t>
  </si>
  <si>
    <r>
      <rPr>
        <b/>
        <sz val="11"/>
        <color rgb="FF000000"/>
        <rFont val="Century Gothic"/>
        <family val="2"/>
      </rPr>
      <t xml:space="preserve">Unable to see doctor due to cost. </t>
    </r>
    <r>
      <rPr>
        <sz val="11"/>
        <color rgb="FF000000"/>
        <rFont val="Century Gothic"/>
        <family val="2"/>
      </rPr>
      <t>Percent of adults who went without care because of cost in the past year (2021)</t>
    </r>
  </si>
  <si>
    <t>Percent of adults who report going without care because of cost in the past year.</t>
  </si>
  <si>
    <r>
      <rPr>
        <b/>
        <sz val="11"/>
        <color rgb="FF000000"/>
        <rFont val="Century Gothic"/>
        <family val="2"/>
      </rPr>
      <t xml:space="preserve">Uninsured, adults. </t>
    </r>
    <r>
      <rPr>
        <sz val="11"/>
        <color rgb="FF000000"/>
        <rFont val="Century Gothic"/>
        <family val="2"/>
      </rPr>
      <t>Percent of adults ages 19-64 who are uninsured in the state (2017-2021)</t>
    </r>
  </si>
  <si>
    <t>Percent of adults ages 19-64 who are uninsured in the state.</t>
  </si>
  <si>
    <t>U.S. Census Bureau, American Community Survey 5-year estimates - Tables C27001A, B, D and I</t>
  </si>
  <si>
    <t>Asian alone; Black or African American alone; Hispanic or Latino; White alone</t>
  </si>
  <si>
    <r>
      <rPr>
        <b/>
        <sz val="11"/>
        <color rgb="FF000000"/>
        <rFont val="Century Gothic"/>
        <family val="2"/>
      </rPr>
      <t xml:space="preserve">Prenatal care. </t>
    </r>
    <r>
      <rPr>
        <sz val="11"/>
        <color rgb="FF000000"/>
        <rFont val="Century Gothic"/>
        <family val="2"/>
      </rPr>
      <t>Percent of women who completed a pregnancy in the last 12 months and did not receive prenatal care in the first trimester (2020)</t>
    </r>
  </si>
  <si>
    <t>Percent of women who completed a pregnancy in the last 12 months and did not receive prenatal care in the first trimester.</t>
  </si>
  <si>
    <r>
      <rPr>
        <b/>
        <sz val="11"/>
        <color rgb="FF000000"/>
        <rFont val="Century Gothic"/>
        <family val="2"/>
      </rPr>
      <t>Flu vaccinations.</t>
    </r>
    <r>
      <rPr>
        <sz val="11"/>
        <color rgb="FF000000"/>
        <rFont val="Century Gothic"/>
        <family val="2"/>
      </rPr>
      <t xml:space="preserve"> Percent of people, ages 6 months and older, who did not receive a flu vaccination (2021-2022 flu season)</t>
    </r>
  </si>
  <si>
    <t>Percent of people, ages 6 months and older, who did not receive a flu vaccination during the flu season</t>
  </si>
  <si>
    <t>National Immunization Survey - Flu and Behavioral Risk Factor Surveillance System as compiled by Centers for Disease Control and Prevention, FluVaxView</t>
  </si>
  <si>
    <t>Social and economic environment</t>
  </si>
  <si>
    <r>
      <rPr>
        <b/>
        <sz val="11"/>
        <color theme="1"/>
        <rFont val="Century Gothic"/>
        <family val="1"/>
      </rPr>
      <t>Chronic absenteeism.</t>
    </r>
    <r>
      <rPr>
        <sz val="11"/>
        <color theme="1"/>
        <rFont val="Century Gothic"/>
        <family val="1"/>
      </rPr>
      <t xml:space="preserve"> Percent of students who were chronically absent from school (2021-2022 school year)</t>
    </r>
  </si>
  <si>
    <t>Percent of students with excused or unexcused absences from school that exceed at least 10% of possible attendance hours, for students with at least 100 hours of possible attendance.</t>
  </si>
  <si>
    <t xml:space="preserve">Ohio Department of Education: State Details 2021-2022 School Report Cards Excel table </t>
  </si>
  <si>
    <t>Asian or Pacific Islander; Black, Non-Hispanic; Hispanic; White, Non-Hispanic</t>
  </si>
  <si>
    <r>
      <rPr>
        <b/>
        <sz val="11"/>
        <color theme="1"/>
        <rFont val="Century Gothic"/>
        <family val="1"/>
      </rPr>
      <t>Incarceration.</t>
    </r>
    <r>
      <rPr>
        <sz val="11"/>
        <color theme="1"/>
        <rFont val="Century Gothic"/>
        <family val="1"/>
      </rPr>
      <t xml:space="preserve"> Number of people incarcerated in Ohio Department of Rehabilitation and Corrections prisons, per 100,000 population (July 2022 snapshot; 20211-year estimates)</t>
    </r>
  </si>
  <si>
    <t>Number of people incarcerated in Ohio Department of Rehabilitation and Corrections (ODRC) prisons for fiscal year 2022, per 100,000 population. Some, but very few, people incarcerated in ODRC prisons are under the age of 18.</t>
  </si>
  <si>
    <t>Analysis of Ohio Department of Rehabilitation and Corrections annual report and U.S. Census Bureau, American Community Survey, 1-year estimates by HPIO</t>
  </si>
  <si>
    <t>Black; White</t>
  </si>
  <si>
    <r>
      <rPr>
        <b/>
        <sz val="11"/>
        <color theme="1"/>
        <rFont val="Century Gothic"/>
        <family val="1"/>
      </rPr>
      <t>Adult arrests.</t>
    </r>
    <r>
      <rPr>
        <sz val="11"/>
        <color theme="1"/>
        <rFont val="Century Gothic"/>
        <family val="1"/>
      </rPr>
      <t xml:space="preserve"> Number of people arrested, per 100,000 population (2021)</t>
    </r>
  </si>
  <si>
    <t>Number of people arrested, per 100,000 population. The data source for this indicator, the Ohio Incident-Based Reporting System, is a voluntary reporting system. In 2021, law enforcement agencies with jurisdictions over about 93.2% of Ohio's population reported to this system. Therefore, population estimates for each group were multiplied by 93.2% before calculating the arrest rate.</t>
  </si>
  <si>
    <t>Ohio Incident-Based Reporting System and American Community Survey, as compiled by the Ohio Department of Rehabilitation and Corrections, by request.</t>
  </si>
  <si>
    <t>Asian; Black; White</t>
  </si>
  <si>
    <r>
      <rPr>
        <b/>
        <sz val="11"/>
        <color theme="1"/>
        <rFont val="Century Gothic"/>
        <family val="1"/>
      </rPr>
      <t>Child poverty.</t>
    </r>
    <r>
      <rPr>
        <sz val="11"/>
        <color theme="1"/>
        <rFont val="Century Gothic"/>
        <family val="1"/>
      </rPr>
      <t xml:space="preserve"> Percent of people under age 18, in households with incomes below the federal poverty level (2017-2021)</t>
    </r>
  </si>
  <si>
    <t>Percent of people under age 18, in households with incomes below the federal poverty level.</t>
  </si>
  <si>
    <t>U.S. Census Bureau, 2021 American Community Survey 5-year estimates - Tables B17001A, B17001B, B17001D and B17001I</t>
  </si>
  <si>
    <r>
      <rPr>
        <b/>
        <sz val="11"/>
        <color rgb="FF000000"/>
        <rFont val="Century Gothic"/>
        <family val="1"/>
      </rPr>
      <t xml:space="preserve">Unemployment. </t>
    </r>
    <r>
      <rPr>
        <sz val="11"/>
        <color rgb="FF000000"/>
        <rFont val="Century Gothic"/>
        <family val="1"/>
      </rPr>
      <t>Percent of people who are jobless, looking for a job and available for work (2017-2021)</t>
    </r>
  </si>
  <si>
    <t>Percent of people who are unemployed during the reference week surveyed by the American Community Survey (ACS). The ACS defines people ages 16 or older who are not working but participating in the labor force (i.e. willing, able and looking for work) as unemployed.</t>
  </si>
  <si>
    <t>U.S. Census Bureau, 2021 American Community Survey 5-year estimates - Tables S2301</t>
  </si>
  <si>
    <t>Asian alone; Black or African American alone; Hispanic or Latino origin (of any race); White alone</t>
  </si>
  <si>
    <r>
      <rPr>
        <b/>
        <sz val="11"/>
        <color theme="1"/>
        <rFont val="Century Gothic"/>
        <family val="1"/>
      </rPr>
      <t xml:space="preserve">High school graduation. </t>
    </r>
    <r>
      <rPr>
        <sz val="11"/>
        <color theme="1"/>
        <rFont val="Century Gothic"/>
        <family val="1"/>
      </rPr>
      <t>Percent of students who do not graduate in four years with a regular high school diploma (2021-2022 school year)</t>
    </r>
  </si>
  <si>
    <t>Percent of students who do not graduate in four years with a regular high school diploma using the state of Ohio method for calculating graduation rates. The percent of students who graduate in four years was calculated using the adjusted cohort graduation rate (ACGR). From the beginning of ninth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t>
  </si>
  <si>
    <t>Ohio Department of Education, Title 1 data</t>
  </si>
  <si>
    <r>
      <rPr>
        <b/>
        <sz val="11"/>
        <rFont val="Century Gothic"/>
        <family val="1"/>
      </rPr>
      <t>Disconnected youth.</t>
    </r>
    <r>
      <rPr>
        <sz val="11"/>
        <rFont val="Century Gothic"/>
        <family val="1"/>
      </rPr>
      <t xml:space="preserve"> Percent of youth, ages 16-24, who are not working or in school (2016-2020)</t>
    </r>
  </si>
  <si>
    <t>Percent of youth, ages 16-24, who are not working or in school.</t>
  </si>
  <si>
    <t>Analysis of U.S. Census Bureau, American Community Survey Public Use Microdata Sample by HPIO and The Voinovich School of Leadership &amp; Public Affairs, Ohio University</t>
  </si>
  <si>
    <t>Asian, non-Hispanic; Black, non-Hispanic; Hispanic; White, non-Hispanic</t>
  </si>
  <si>
    <r>
      <rPr>
        <b/>
        <sz val="11"/>
        <rFont val="Century Gothic"/>
        <family val="1"/>
      </rPr>
      <t xml:space="preserve">Adverse childhood experiences. </t>
    </r>
    <r>
      <rPr>
        <sz val="11"/>
        <rFont val="Century Gothic"/>
        <family val="1"/>
      </rPr>
      <t>Percent of children who have experienced two or more adverse experiences (2021)</t>
    </r>
  </si>
  <si>
    <t>Percent of children who have experienced two or more adverse experiences (ACEs), among nine ACEs defined by the National Survey of Children's Health: "Somewhat often" or "very often" hard to get by on family income; parent or guardian divorced or separated; parent or guardian died; parent or guardian served time in jail; child saw or heard parents or adults slap, hit, kick punch one another in the home; child was a victim of violence or witnessed violence in neighborhood; child lived with anyone who was mentally ill, suicidal, or severely depressed; child lived with anyone who had a problem with alcohol or drugs; child treated or judged unfairly due to race/ethnicity; and child treated or judged unfairly due to sexual orientation or gender identity.</t>
  </si>
  <si>
    <t>Analysis of Health Resources and Services Administration, National Survey of Children's Health by HPIO and The Voinovich School of Leadership &amp; Public Affairs, Ohio University</t>
  </si>
  <si>
    <r>
      <rPr>
        <b/>
        <sz val="11"/>
        <color theme="1"/>
        <rFont val="Century Gothic"/>
        <family val="1"/>
      </rPr>
      <t xml:space="preserve">Fourth-grade reading. </t>
    </r>
    <r>
      <rPr>
        <sz val="11"/>
        <color theme="1"/>
        <rFont val="Century Gothic"/>
        <family val="1"/>
      </rPr>
      <t>Percent of 4th grade public school students who were not proficient in reading by a national assessment (NAEP) (2022)</t>
    </r>
  </si>
  <si>
    <t>Percent of 4th grade public school students measured "below basic" or "basic" by the National Assessment of Educational Progress (NAEP) reading test. Public schools include charter schools and exclude Bureau of Indian Education schools and Department of Defense Education Activity schools.</t>
  </si>
  <si>
    <t>U.S. Department of Education, National Assessment of Educational Progress</t>
  </si>
  <si>
    <t>Black; Hispanic; White</t>
  </si>
  <si>
    <r>
      <rPr>
        <b/>
        <sz val="11"/>
        <color theme="1"/>
        <rFont val="Century Gothic"/>
        <family val="1"/>
      </rPr>
      <t xml:space="preserve">College enrollment within two years. </t>
    </r>
    <r>
      <rPr>
        <sz val="11"/>
        <color theme="1"/>
        <rFont val="Century Gothic"/>
        <family val="1"/>
      </rPr>
      <t>Percent of students who did not enroll in a 2- or 4-year college within two years of graduating from high school (2021-2022)</t>
    </r>
  </si>
  <si>
    <t xml:space="preserve">Percent of students who did not enroll in a 2- or 4-year college for at least 60 days within two years of when their cohort graduated from high school. For example, data for 2021 includes data for the 2019 graduation cohort, or those students who entered 9th grade in the 2015-2016 school year. Because the graduation date for each student in the graduation cohort is unique (i.e., students may graduate early, on time, or late), a college enrollment deadline of Sept. 30 two years after the 4-year cohort graduation year is used to allow students to graduate over the summer and enroll in college in the fall. </t>
  </si>
  <si>
    <t>Ohio Department of Education, College Readiness Data including college enrollment data from the National Student Clearinghouse</t>
  </si>
  <si>
    <r>
      <rPr>
        <b/>
        <sz val="11"/>
        <color rgb="FF000000"/>
        <rFont val="Century Gothic"/>
        <family val="1"/>
      </rPr>
      <t>Labor force participation.</t>
    </r>
    <r>
      <rPr>
        <sz val="11"/>
        <color rgb="FF000000"/>
        <rFont val="Century Gothic"/>
        <family val="1"/>
      </rPr>
      <t xml:space="preserve"> Percent of people who are not in the labor force (i.e., neither working nor jobless but available for work and looking for work) (2017-2021)</t>
    </r>
  </si>
  <si>
    <t>Percent of people who are not in the labor force during the reference week surveyed by the American Community Survey (ACS). The ACS defines people ages 16 or older who are working or jobless but available for work and looking for a job as participating in the labor force.</t>
  </si>
  <si>
    <t>U.S. Census Bureau, 2019 American Community Survey 5-year estimates - Table S2301</t>
  </si>
  <si>
    <t>Physical environment</t>
  </si>
  <si>
    <r>
      <rPr>
        <b/>
        <sz val="11"/>
        <rFont val="Century Gothic"/>
        <family val="1"/>
      </rPr>
      <t xml:space="preserve">Food insecurity, children. </t>
    </r>
    <r>
      <rPr>
        <sz val="11"/>
        <rFont val="Century Gothic"/>
        <family val="1"/>
      </rPr>
      <t>Percent of children in families who could sometimes or often not afford enough to eat (2018-2021)</t>
    </r>
  </si>
  <si>
    <t>Percent of children in families who could sometimes or often not afford enough to eat.</t>
  </si>
  <si>
    <r>
      <rPr>
        <b/>
        <sz val="11"/>
        <color theme="1"/>
        <rFont val="Century Gothic"/>
        <family val="1"/>
      </rPr>
      <t xml:space="preserve">Zero-vehicle households. </t>
    </r>
    <r>
      <rPr>
        <sz val="11"/>
        <color theme="1"/>
        <rFont val="Century Gothic"/>
        <family val="1"/>
      </rPr>
      <t>Percent of households with no vehicle (2015-2019)</t>
    </r>
  </si>
  <si>
    <t>Percent of households with no vehicle.</t>
  </si>
  <si>
    <t>Integrated Public Use Microdata Series, IPUMS USA, University of Minnesota, 1990 and 2000 5% samples, 2019 American Community Survey 5-year samples, as compiled by National Equity Atlas</t>
  </si>
  <si>
    <t>Asian or Pacific Islander; Black; Latino; White</t>
  </si>
  <si>
    <r>
      <rPr>
        <b/>
        <sz val="11"/>
        <rFont val="Century Gothic"/>
        <family val="1"/>
      </rPr>
      <t>Child in a household with a person who smokes.</t>
    </r>
    <r>
      <rPr>
        <sz val="11"/>
        <rFont val="Century Gothic"/>
        <family val="1"/>
      </rPr>
      <t xml:space="preserve"> Percent of children, ages 0-17, who live in households where someone smokes (cigarettes, cigars or pipe tobacco) (2018-2021)</t>
    </r>
  </si>
  <si>
    <t>Percent of children ages 0-17 who live in households where someone smokes (cigarettes, cigars or pipe tobacco).</t>
  </si>
  <si>
    <t>Analysis of Health Resources and Services Administration, National Survey of Children's Health by HPIO</t>
  </si>
  <si>
    <r>
      <rPr>
        <b/>
        <sz val="11"/>
        <color theme="1"/>
        <rFont val="Century Gothic"/>
        <family val="1"/>
      </rPr>
      <t>Severe housing cost burden.</t>
    </r>
    <r>
      <rPr>
        <sz val="11"/>
        <color theme="1"/>
        <rFont val="Century Gothic"/>
        <family val="1"/>
      </rPr>
      <t xml:space="preserve"> Percent of households (owners and renters) with housing costs greater than 50% of monthly income (2015-2019)</t>
    </r>
  </si>
  <si>
    <t>Percent of households (owners and renters) with housing costs greater than 50% of monthly income. Housing costs include rent or mortgage payments and utilities. The numerator includes all households of a given group of interest who have a housing cost burden of 50% or more. The denominator includes all households of a given group of interest, at all levels of cost burden.</t>
  </si>
  <si>
    <t>Analysis of American Community Survey as compiled by the U.S. Department of Housing and Urban Development, Office of Policy Development and Research, Comprehensive Housing Affordability Strategy data by HPIO and The Voinovich School of Leadership &amp; Public Affairs, Ohio University</t>
  </si>
  <si>
    <t>Asian alone, non-Hispanic; Black or African-American alone, non-Hispanic; Hispanic, any race; White alone, non-Hispanic</t>
  </si>
  <si>
    <r>
      <rPr>
        <b/>
        <sz val="11"/>
        <color theme="1"/>
        <rFont val="Century Gothic"/>
        <family val="1"/>
      </rPr>
      <t xml:space="preserve">Broadband internet access. </t>
    </r>
    <r>
      <rPr>
        <sz val="11"/>
        <color theme="1"/>
        <rFont val="Century Gothic"/>
        <family val="1"/>
      </rPr>
      <t>Percent of people who do not have broadband internet access (2017-2021)</t>
    </r>
  </si>
  <si>
    <t>Percent of people who do not have broadband internet access, such as cable, fiber optic or DSL. This will normally refer to a service that someone is billed for directly for Internet alone or sometimes as part of a bundle.</t>
  </si>
  <si>
    <t>U.S. Census Bureau, American Community Survey 5-year estimates - Table S2802</t>
  </si>
  <si>
    <r>
      <rPr>
        <b/>
        <sz val="11"/>
        <color rgb="FF000000"/>
        <rFont val="Century Gothic"/>
        <family val="1"/>
      </rPr>
      <t xml:space="preserve">Air pollution. </t>
    </r>
    <r>
      <rPr>
        <sz val="11"/>
        <color rgb="FF000000"/>
        <rFont val="Century Gothic"/>
        <family val="1"/>
      </rPr>
      <t>Index of exposure to carcinogenic and non- carcinogenic air pollutants based on a national scale where 1 is lowest risk and 100 is highest risk compared to census tracts nationwide (2019)</t>
    </r>
  </si>
  <si>
    <t xml:space="preserve">Index of exposure to carcinogenic and non- carcinogenic air pollutants. Values range from 1 (lowest risk) to 100 (highest risk) on a national scale based on the distribution across census tracts nationwide. For example, a value of 37 for Black Ohioans suggests that the average pollution exposure for Black Ohioans is equivalent to the census tract that ranks at the 37th percentile nationally in pollution exposure (i.e., has more exposure than 36 percent of U.S. tracts, but less exposure than 63 percent of tracts). </t>
  </si>
  <si>
    <t>U.S. Environmental Protection Agency, National-Scale Air Toxics Assessment and American Community Survey as compiled by the National Equity Atlas</t>
  </si>
  <si>
    <t>Experiences of racism</t>
  </si>
  <si>
    <r>
      <rPr>
        <b/>
        <sz val="11"/>
        <rFont val="Century Gothic"/>
        <family val="2"/>
      </rPr>
      <t>Unfair treatment due to race.</t>
    </r>
    <r>
      <rPr>
        <sz val="11"/>
        <rFont val="Century Gothic"/>
        <family val="2"/>
      </rPr>
      <t xml:space="preserve"> Percent of children who have ever been treated or judged unfairly because of his or her race or ethnic group (2018-2021)</t>
    </r>
  </si>
  <si>
    <t>Percent of children who have ever been treated or judged unfairly because of his or her race or ethnic group.</t>
  </si>
  <si>
    <r>
      <rPr>
        <b/>
        <sz val="11"/>
        <rFont val="Century Gothic"/>
        <family val="2"/>
      </rPr>
      <t>Physical or emotional symptoms due to treatment due to race.</t>
    </r>
    <r>
      <rPr>
        <sz val="11"/>
        <rFont val="Century Gothic"/>
        <family val="2"/>
      </rPr>
      <t xml:space="preserve"> Percent of Ohioans, ages 18 and older, who have experienced physical symptoms or felt emotionally upset as a result of treatment due to race in the past 30 days (2020)</t>
    </r>
  </si>
  <si>
    <t>Percent of Ohioans, ages 18 and older, who have experienced physical symptoms or felt emotionally upset as a result of treatment due to race in the past 30 days. Physical symptoms include a headache, an upset stomach, muscle tension, or a pounding heart. Feeling emotionally upset includes feeling angry, sad, or frustrated.</t>
  </si>
  <si>
    <t>Analysis of Centers for Disease Control and Prevention, Behavioral Risk Factor Surveillance Survey  by HPIO, data provided by the Ohio Department of Health upon request</t>
  </si>
  <si>
    <r>
      <rPr>
        <b/>
        <sz val="11"/>
        <rFont val="Century Gothic"/>
        <family val="2"/>
      </rPr>
      <t xml:space="preserve">Treated worse in healthcare due to race. </t>
    </r>
    <r>
      <rPr>
        <sz val="11"/>
        <rFont val="Century Gothic"/>
        <family val="2"/>
      </rPr>
      <t>Percent of Ohioans, ages 18 and older, who are treated worse than other races when seeking healthcare in the past year (2020)</t>
    </r>
  </si>
  <si>
    <t>Percent of Ohioans, ages 18 and older, who are treated worse than other races when seeking healthcare in the past year, including people who report that they are treated "worse than other races" and "worse than some races, better than others".</t>
  </si>
  <si>
    <t>Black, non-Hispanic; White, non-Hispanic</t>
  </si>
  <si>
    <r>
      <rPr>
        <b/>
        <sz val="11"/>
        <rFont val="Century Gothic"/>
        <family val="2"/>
      </rPr>
      <t>Treated worse at work due to race.</t>
    </r>
    <r>
      <rPr>
        <sz val="11"/>
        <rFont val="Century Gothic"/>
        <family val="2"/>
      </rPr>
      <t xml:space="preserve"> Percent of Ohioans, ages 18 and older, who are treated worse than other races at work in the past year (2020)</t>
    </r>
  </si>
  <si>
    <t>Percent of Ohioans, ages 18 and older, who are treated worse than other races at work in the past year, including people who report that they are treated "worse than other races" and "worse than some races, better than others".</t>
  </si>
  <si>
    <t>Estimated impact*</t>
  </si>
  <si>
    <r>
      <t xml:space="preserve">Metric short name. </t>
    </r>
    <r>
      <rPr>
        <sz val="11"/>
        <color theme="0"/>
        <rFont val="Century Gothic"/>
        <family val="2"/>
      </rPr>
      <t>Metric long name</t>
    </r>
    <r>
      <rPr>
        <b/>
        <sz val="11"/>
        <color theme="0"/>
        <rFont val="Century Gothic"/>
        <family val="2"/>
      </rPr>
      <t xml:space="preserve"> </t>
    </r>
    <r>
      <rPr>
        <sz val="11"/>
        <color theme="0"/>
        <rFont val="Century Gothic"/>
        <family val="1"/>
      </rPr>
      <t>(data year)</t>
    </r>
  </si>
  <si>
    <t>People with disabilities</t>
  </si>
  <si>
    <t>People without disabilities</t>
  </si>
  <si>
    <t>People with disabilities/People without disabilities</t>
  </si>
  <si>
    <t>Number of Ohioans with disabilities impacted if disparity eliminated</t>
  </si>
  <si>
    <t>Disability status groups used by source</t>
  </si>
  <si>
    <r>
      <rPr>
        <b/>
        <sz val="11"/>
        <color rgb="FF000000"/>
        <rFont val="Century Gothic"/>
        <family val="2"/>
      </rPr>
      <t xml:space="preserve">Adult depression. </t>
    </r>
    <r>
      <rPr>
        <sz val="11"/>
        <color rgb="FF000000"/>
        <rFont val="Century Gothic"/>
        <family val="2"/>
      </rPr>
      <t>Percent of adults (age-adjusted) who have ever been told by a health professional that they have depression (2020)</t>
    </r>
  </si>
  <si>
    <t>Centers for Disease Control and Prevention, Behavioral Risk Factor Surveillance Survey via Disability and Health Data System</t>
  </si>
  <si>
    <t>Any disability; No disability</t>
  </si>
  <si>
    <r>
      <rPr>
        <b/>
        <sz val="11"/>
        <color rgb="FF000000"/>
        <rFont val="Century Gothic"/>
        <family val="2"/>
      </rPr>
      <t xml:space="preserve">Adult diabetes. </t>
    </r>
    <r>
      <rPr>
        <sz val="11"/>
        <color rgb="FF000000"/>
        <rFont val="Century Gothic"/>
        <family val="2"/>
      </rPr>
      <t>Percent of adults (age-adjusted) who have been told by a health professional that they have diabetes (2020)</t>
    </r>
  </si>
  <si>
    <r>
      <rPr>
        <b/>
        <sz val="11"/>
        <color rgb="FF000000"/>
        <rFont val="Century Gothic"/>
        <family val="2"/>
      </rPr>
      <t xml:space="preserve">Unable to see doctor due to cost. </t>
    </r>
    <r>
      <rPr>
        <sz val="11"/>
        <color rgb="FF000000"/>
        <rFont val="Century Gothic"/>
        <family val="2"/>
      </rPr>
      <t>Percent of adults (age-adjusted) who went without care because of cost in the past year (2020)</t>
    </r>
  </si>
  <si>
    <t>U.S. Census Bureau, American Community Survey 5-year estimates - Table B18135</t>
  </si>
  <si>
    <t>With a disability; No disability</t>
  </si>
  <si>
    <r>
      <rPr>
        <b/>
        <sz val="11"/>
        <color rgb="FF000000"/>
        <rFont val="Century Gothic"/>
        <family val="2"/>
      </rPr>
      <t>Labor force participation.</t>
    </r>
    <r>
      <rPr>
        <sz val="11"/>
        <color rgb="FF000000"/>
        <rFont val="Century Gothic"/>
        <family val="2"/>
      </rPr>
      <t xml:space="preserve"> Percent of people who are not in the labor force (i.e., neither working nor jobless but available for work and looking for work) (2017-2021)</t>
    </r>
  </si>
  <si>
    <t>Percent of people who are in the labor force during the reference week surveyed by the American Community Survey (ACS). The ACS defines people ages 16 or older who are working or jobless but available for work and looking for a job as participating in the labor force.</t>
  </si>
  <si>
    <t>U.S. Census Bureau, 2021 American Community Survey 5-year estimates - Table C18120</t>
  </si>
  <si>
    <r>
      <rPr>
        <b/>
        <sz val="11"/>
        <rFont val="Century Gothic"/>
        <family val="2"/>
      </rPr>
      <t>Disconnected youth.</t>
    </r>
    <r>
      <rPr>
        <sz val="11"/>
        <rFont val="Century Gothic"/>
        <family val="2"/>
      </rPr>
      <t xml:space="preserve"> Percent of youth, ages 16-24, who are not working or in school. (2016-2020)</t>
    </r>
  </si>
  <si>
    <t>Has a disability; Does not have a disability</t>
  </si>
  <si>
    <r>
      <rPr>
        <b/>
        <sz val="11"/>
        <color rgb="FF000000"/>
        <rFont val="Century Gothic"/>
        <family val="2"/>
      </rPr>
      <t xml:space="preserve">Unemployment. </t>
    </r>
    <r>
      <rPr>
        <sz val="11"/>
        <color rgb="FF000000"/>
        <rFont val="Century Gothic"/>
        <family val="2"/>
      </rPr>
      <t xml:space="preserve">Percent of people who are jobless, looking for a job and available for work </t>
    </r>
    <r>
      <rPr>
        <sz val="11"/>
        <rFont val="Century Gothic"/>
        <family val="2"/>
      </rPr>
      <t>(2017-2021</t>
    </r>
    <r>
      <rPr>
        <sz val="11"/>
        <color rgb="FF000000"/>
        <rFont val="Century Gothic"/>
        <family val="2"/>
      </rPr>
      <t>)</t>
    </r>
  </si>
  <si>
    <r>
      <rPr>
        <b/>
        <sz val="11"/>
        <color theme="1"/>
        <rFont val="Century Gothic"/>
        <family val="2"/>
      </rPr>
      <t xml:space="preserve">High school graduation. </t>
    </r>
    <r>
      <rPr>
        <sz val="11"/>
        <color theme="1"/>
        <rFont val="Century Gothic"/>
        <family val="2"/>
      </rPr>
      <t>Percent of students who do not graduate in four years with a regular high school diploma (2021-2022 school year)</t>
    </r>
  </si>
  <si>
    <t>Percent of students who do not graduate in four years with a regular high school diploma using the state of Ohio method for calculating graduation rates. The percent of students who graduate in four years was calculated using adjusted cohort graduation rate (ACGR). From the beginning of ninth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t>
  </si>
  <si>
    <t>Disabled; Non-Disabled</t>
  </si>
  <si>
    <r>
      <rPr>
        <b/>
        <sz val="11"/>
        <rFont val="Century Gothic"/>
        <family val="2"/>
      </rPr>
      <t xml:space="preserve">Adverse childhood experiences. </t>
    </r>
    <r>
      <rPr>
        <sz val="11"/>
        <rFont val="Century Gothic"/>
        <family val="2"/>
      </rPr>
      <t>Percent of children who have experienced two or more adverse experiences (2021)</t>
    </r>
  </si>
  <si>
    <r>
      <rPr>
        <b/>
        <sz val="11"/>
        <color rgb="FF000000"/>
        <rFont val="Century Gothic"/>
        <family val="2"/>
      </rPr>
      <t>Child poverty.</t>
    </r>
    <r>
      <rPr>
        <sz val="11"/>
        <color rgb="FF000000"/>
        <rFont val="Century Gothic"/>
        <family val="2"/>
      </rPr>
      <t xml:space="preserve"> Percent of people under age 18, in households with incomes below the federal poverty level (2021)</t>
    </r>
  </si>
  <si>
    <t>Percent of people under age 18,  in households with incomes below the federal poverty level.</t>
  </si>
  <si>
    <t>U.S. Census Bureau, 2021 American Community Survey 1-year estimates - Table B18130</t>
  </si>
  <si>
    <r>
      <rPr>
        <b/>
        <sz val="11"/>
        <color theme="1"/>
        <rFont val="Century Gothic"/>
        <family val="2"/>
      </rPr>
      <t xml:space="preserve">Fourth-grade reading. </t>
    </r>
    <r>
      <rPr>
        <sz val="11"/>
        <color theme="1"/>
        <rFont val="Century Gothic"/>
        <family val="2"/>
      </rPr>
      <t>Percent of 4th grade public school students who were not proficient in reading by a national assessment (NAEP) (2022)</t>
    </r>
  </si>
  <si>
    <t>Identified as students with disabilities; Not identified as students with disabilities</t>
  </si>
  <si>
    <r>
      <rPr>
        <b/>
        <sz val="11"/>
        <color theme="1"/>
        <rFont val="Century Gothic"/>
        <family val="2"/>
      </rPr>
      <t>Chronic absenteeism.</t>
    </r>
    <r>
      <rPr>
        <sz val="11"/>
        <color theme="1"/>
        <rFont val="Century Gothic"/>
        <family val="2"/>
      </rPr>
      <t xml:space="preserve"> Percent of students who were chronically absent from school (2021-2022 school year)</t>
    </r>
  </si>
  <si>
    <t>Ohio Department of Education, Student Attendance State Absenteeism and Attendance public data</t>
  </si>
  <si>
    <t>Students with Disabilities; Students without Disabilities</t>
  </si>
  <si>
    <r>
      <rPr>
        <b/>
        <sz val="11"/>
        <rFont val="Century Gothic"/>
        <family val="2"/>
      </rPr>
      <t xml:space="preserve">Food insecurity. </t>
    </r>
    <r>
      <rPr>
        <sz val="11"/>
        <rFont val="Century Gothic"/>
        <family val="2"/>
      </rPr>
      <t>Percent of children in families who could sometimes or often not afford enough to eat (2018-2021)</t>
    </r>
  </si>
  <si>
    <t>Less than high school</t>
  </si>
  <si>
    <t>Bachelor's degree or above</t>
  </si>
  <si>
    <t>Low-income</t>
  </si>
  <si>
    <t>High-income</t>
  </si>
  <si>
    <t>Less than high school/Bachelor's degree or above</t>
  </si>
  <si>
    <t>Low-income/high-income</t>
  </si>
  <si>
    <t>Number of Ohioans with less than a high school diploma impacted if disparity eliminated</t>
  </si>
  <si>
    <t>Number of Ohioans with low incomes impacted if disparity eliminated</t>
  </si>
  <si>
    <t>Definition of low education and high education from source</t>
  </si>
  <si>
    <t>Definition of low-income and high-income from source</t>
  </si>
  <si>
    <r>
      <rPr>
        <b/>
        <sz val="11"/>
        <rFont val="Century Gothic"/>
        <family val="2"/>
      </rPr>
      <t xml:space="preserve">Adult depression. </t>
    </r>
    <r>
      <rPr>
        <sz val="11"/>
        <rFont val="Century Gothic"/>
        <family val="2"/>
      </rPr>
      <t>Percent of adults who have ever been told by a health professional that they have depression (2021)</t>
    </r>
  </si>
  <si>
    <t>Analysis of Centers for Disease Control and Prevention, Behavioral Risk Factor Surveillance Survey  by HPIO</t>
  </si>
  <si>
    <t>Less than high school; College graduate</t>
  </si>
  <si>
    <t>Less than $15,000; $50,000+ (annual income)</t>
  </si>
  <si>
    <r>
      <rPr>
        <b/>
        <sz val="11"/>
        <rFont val="Century Gothic"/>
        <family val="2"/>
      </rPr>
      <t xml:space="preserve">Adult diabetes. </t>
    </r>
    <r>
      <rPr>
        <sz val="11"/>
        <rFont val="Century Gothic"/>
        <family val="2"/>
      </rPr>
      <t>Percent of adults who have been told by a health professional that they have diabetes (2021)</t>
    </r>
  </si>
  <si>
    <t>Analysis of Centers for Disease Control and Prevention, Behavioral Risk Factor Surveillance Survey by HPIO</t>
  </si>
  <si>
    <r>
      <rPr>
        <b/>
        <sz val="11"/>
        <rFont val="Century Gothic"/>
        <family val="2"/>
      </rPr>
      <t>Poor oral health.</t>
    </r>
    <r>
      <rPr>
        <sz val="11"/>
        <rFont val="Century Gothic"/>
        <family val="2"/>
      </rPr>
      <t xml:space="preserve"> Percent of adults, ages 18-64, who have lost six or more teeth because of tooth decay, infection or gum disease (2018-2020)</t>
    </r>
  </si>
  <si>
    <t>Under 200% of poverty threshold; 400% of poverty threshold and over</t>
  </si>
  <si>
    <r>
      <rPr>
        <b/>
        <sz val="11"/>
        <rFont val="Century Gothic"/>
        <family val="2"/>
      </rPr>
      <t xml:space="preserve">Unable to see doctor due to cost. </t>
    </r>
    <r>
      <rPr>
        <sz val="11"/>
        <rFont val="Century Gothic"/>
        <family val="2"/>
      </rPr>
      <t>Percent of adults who went without care because of cost in the past year (2021)</t>
    </r>
  </si>
  <si>
    <r>
      <rPr>
        <b/>
        <sz val="11"/>
        <rFont val="Century Gothic"/>
        <family val="2"/>
      </rPr>
      <t xml:space="preserve">Prenatal care. </t>
    </r>
    <r>
      <rPr>
        <sz val="11"/>
        <rFont val="Century Gothic"/>
        <family val="2"/>
      </rPr>
      <t>Percent of women who completed a pregnancy in the last 12 months and did not receive prenatal care in the first trimester (2021)</t>
    </r>
  </si>
  <si>
    <t>Centers for Disease Control and Prevention, Wide-ranging Online Data for Epidemiologic Research (WONDER)</t>
  </si>
  <si>
    <t>Less than a high school diploma; Bachelor's degree or higher</t>
  </si>
  <si>
    <r>
      <rPr>
        <b/>
        <sz val="11"/>
        <rFont val="Century Gothic"/>
        <family val="2"/>
      </rPr>
      <t xml:space="preserve">Uninsured, adults. </t>
    </r>
    <r>
      <rPr>
        <sz val="11"/>
        <rFont val="Century Gothic"/>
        <family val="2"/>
      </rPr>
      <t>Percent of adults ages 19-64 who are uninsured in the state (2017-2021)</t>
    </r>
  </si>
  <si>
    <t>U.S. Census Bureau, American Community Survey 5-year estimates - Table B27019 (educational attainment) and Table C27016 (income)</t>
  </si>
  <si>
    <t>Less than high school graduate; Bachelor's degree or higher (ages 26-64)</t>
  </si>
  <si>
    <t>Under 138% of poverty threshold; 400% of poverty threshold and over</t>
  </si>
  <si>
    <t>Less than high school; College or more (highest education of adult in household)</t>
  </si>
  <si>
    <t>50% of federal poverty level (FPL) or below; 400% FPL or more (household income)</t>
  </si>
  <si>
    <r>
      <rPr>
        <b/>
        <sz val="11"/>
        <rFont val="Century Gothic"/>
        <family val="2"/>
      </rPr>
      <t>Chronic absenteeism.</t>
    </r>
    <r>
      <rPr>
        <sz val="11"/>
        <rFont val="Century Gothic"/>
        <family val="2"/>
      </rPr>
      <t xml:space="preserve"> Percent of students who were chronically absent from school (2021-2022 school year)</t>
    </r>
  </si>
  <si>
    <t>Economically disadvantaged; non-economically disadvantaged</t>
  </si>
  <si>
    <t>Income to poverty ratio below 501%; Income to poverty ratio 501% or higher</t>
  </si>
  <si>
    <r>
      <rPr>
        <b/>
        <sz val="11"/>
        <rFont val="Century Gothic"/>
        <family val="2"/>
      </rPr>
      <t xml:space="preserve">Fourth-grade reading. </t>
    </r>
    <r>
      <rPr>
        <sz val="11"/>
        <rFont val="Century Gothic"/>
        <family val="2"/>
      </rPr>
      <t>Percent of 4th grade public school students who were not proficient in reading by a national assessment (NAEP) (2022)</t>
    </r>
  </si>
  <si>
    <t>Eligible for National School Lunch Program (NLSP); Not eligible for NLSP</t>
  </si>
  <si>
    <r>
      <rPr>
        <b/>
        <sz val="11"/>
        <rFont val="Century Gothic"/>
        <family val="2"/>
      </rPr>
      <t xml:space="preserve">High school graduation. </t>
    </r>
    <r>
      <rPr>
        <sz val="11"/>
        <rFont val="Century Gothic"/>
        <family val="2"/>
      </rPr>
      <t>Percent of students who do not graduate in four years with a regular high school diploma (2021-2022 school year)</t>
    </r>
  </si>
  <si>
    <t>Economic disadvantaged; Non-Economic disadvantaged</t>
  </si>
  <si>
    <r>
      <rPr>
        <b/>
        <sz val="11"/>
        <rFont val="Century Gothic"/>
        <family val="2"/>
      </rPr>
      <t>Labor force participation.</t>
    </r>
    <r>
      <rPr>
        <sz val="11"/>
        <rFont val="Century Gothic"/>
        <family val="2"/>
      </rPr>
      <t xml:space="preserve"> Percent of people who are not in the labor force (i.e., neither working nor jobless but available for work and looking for work) (2017-2021)</t>
    </r>
  </si>
  <si>
    <t>U.S Census Bureau, 2021 American Community Survey 5-year estimates - Table S2301</t>
  </si>
  <si>
    <t>Less than high school graduate; Bachelor's degree or higher (ages 25 to 64)</t>
  </si>
  <si>
    <t>Below poverty level; At or above the poverty level</t>
  </si>
  <si>
    <r>
      <rPr>
        <b/>
        <sz val="11"/>
        <rFont val="Century Gothic"/>
        <family val="2"/>
      </rPr>
      <t xml:space="preserve">Unemployment. </t>
    </r>
    <r>
      <rPr>
        <sz val="11"/>
        <rFont val="Century Gothic"/>
        <family val="2"/>
      </rPr>
      <t>Percent of people who are jobless, looking for a job and available for work (2017-2021)</t>
    </r>
  </si>
  <si>
    <r>
      <rPr>
        <b/>
        <sz val="11"/>
        <rFont val="Century Gothic"/>
        <family val="2"/>
      </rPr>
      <t xml:space="preserve">Broadband internet access. </t>
    </r>
    <r>
      <rPr>
        <sz val="11"/>
        <rFont val="Century Gothic"/>
        <family val="2"/>
      </rPr>
      <t>Percent of people, ages 25 and over, who do not have broadband internet access (2017-2021)</t>
    </r>
  </si>
  <si>
    <t>Percent of people, ages 25 and over, who do not have broadband internet access, such as cable, fiber optic or DSL. This will normally refer to a service that someone is billed for directly for Internet alone or sometimes as part of a bundle.</t>
  </si>
  <si>
    <t>U.S. Census Bureau, 2021 American Community Survey 5-year estimates - Table S2802</t>
  </si>
  <si>
    <t>Less than high school graduate or equivalency; Bachelor's degree or higher</t>
  </si>
  <si>
    <r>
      <rPr>
        <b/>
        <sz val="11"/>
        <rFont val="Century Gothic"/>
        <family val="2"/>
      </rPr>
      <t>Child in a household with a person who smokes.</t>
    </r>
    <r>
      <rPr>
        <sz val="11"/>
        <rFont val="Century Gothic"/>
        <family val="2"/>
      </rPr>
      <t xml:space="preserve"> Percent of children, ages 0-17, who live in households where someone smokes (cigarettes, cigars or pipe tobacco) (2018-2021)</t>
    </r>
  </si>
  <si>
    <r>
      <rPr>
        <b/>
        <sz val="11"/>
        <color theme="1"/>
        <rFont val="Century Gothic"/>
        <family val="2"/>
      </rPr>
      <t>Severe housing cost burden.</t>
    </r>
    <r>
      <rPr>
        <sz val="11"/>
        <color theme="1"/>
        <rFont val="Century Gothic"/>
        <family val="2"/>
      </rPr>
      <t xml:space="preserve"> Percent of households (owners and renters) with housing costs greater than 50% of monthly income (2015-2019)</t>
    </r>
  </si>
  <si>
    <t>Household income is less than or equal to 30% of HUD Area Median Family Income (HAMFI); Household income is greater than 100% of HAMFI</t>
  </si>
  <si>
    <t>Wide confidence interval, indicating unstable estimate. Interpret with caution.</t>
  </si>
  <si>
    <t>Domain - ish</t>
  </si>
  <si>
    <t>Heterosexual (straight)</t>
  </si>
  <si>
    <t>Gay or lesbian</t>
  </si>
  <si>
    <t>Bisexual</t>
  </si>
  <si>
    <t>Gay, lesbian or bisexual</t>
  </si>
  <si>
    <t>Cisgender</t>
  </si>
  <si>
    <t>Transgender</t>
  </si>
  <si>
    <t>Gay or lesbian/heterosexual</t>
  </si>
  <si>
    <t>Bisexual/heterosexual</t>
  </si>
  <si>
    <t>Gay, lesbian or bisexual/heterosexual</t>
  </si>
  <si>
    <t>Transgender/ cisgender</t>
  </si>
  <si>
    <r>
      <rPr>
        <b/>
        <sz val="11"/>
        <color rgb="FF000000"/>
        <rFont val="Century Gothic"/>
        <family val="2"/>
      </rPr>
      <t>Youth all-tobacco use.</t>
    </r>
    <r>
      <rPr>
        <sz val="11"/>
        <color rgb="FF000000"/>
        <rFont val="Century Gothic"/>
        <family val="2"/>
      </rPr>
      <t xml:space="preserve"> Percent of high school youth, ages 12-17, who used cigarettes, smokeless tobacco or cigars during the past 30 days (does not include e-cigarettes) (2019)</t>
    </r>
  </si>
  <si>
    <t>Percent of youth ages 12-17 who used cigarettes, smokeless tobacco (i.e. snuff, dip, chewing tobacco, or "snus") or cigars during past 30 days (does not include e-cigarettes).</t>
  </si>
  <si>
    <t>Centers for Disease Control and Prevention, Youth Risk Behavioral Surveillance Survey</t>
  </si>
  <si>
    <r>
      <rPr>
        <b/>
        <sz val="11"/>
        <color rgb="FF000000"/>
        <rFont val="Century Gothic"/>
        <family val="2"/>
      </rPr>
      <t xml:space="preserve">Experiences with physical bullying. </t>
    </r>
    <r>
      <rPr>
        <sz val="11"/>
        <color rgb="FF000000"/>
        <rFont val="Century Gothic"/>
        <family val="2"/>
      </rPr>
      <t>Percent of high school youth who reported being bullied at school (2019)</t>
    </r>
  </si>
  <si>
    <t>Percent of high school youth who reported being bullied on school property in the past 12 months</t>
  </si>
  <si>
    <r>
      <rPr>
        <b/>
        <sz val="11"/>
        <color rgb="FF000000"/>
        <rFont val="Century Gothic"/>
        <family val="2"/>
      </rPr>
      <t xml:space="preserve">Experiences with online bullying. </t>
    </r>
    <r>
      <rPr>
        <sz val="11"/>
        <color rgb="FF000000"/>
        <rFont val="Century Gothic"/>
        <family val="2"/>
      </rPr>
      <t>Percent of high school youth who reported being bullied online (2019)</t>
    </r>
  </si>
  <si>
    <t>Percent of high school youth who reported being bullied through texting, Instagram, Facebook, or other social media in the past 12 months</t>
  </si>
  <si>
    <r>
      <rPr>
        <b/>
        <sz val="11"/>
        <color rgb="FF000000"/>
        <rFont val="Century Gothic"/>
        <family val="2"/>
      </rPr>
      <t>Youth mental health.</t>
    </r>
    <r>
      <rPr>
        <sz val="11"/>
        <color rgb="FF000000"/>
        <rFont val="Century Gothic"/>
        <family val="2"/>
      </rPr>
      <t xml:space="preserve"> Percent of high school youth who reported feeling sad or hopeless almost everyday for two or more weeks in a row during the past 12 months (2019)</t>
    </r>
  </si>
  <si>
    <t>Percent of high school youth who reported feeling sad or hopeless almost everyday for two or more weeks in a row so that they stopped doing some usual activities, during the past 12 months.</t>
  </si>
  <si>
    <r>
      <rPr>
        <b/>
        <sz val="11"/>
        <color rgb="FF000000"/>
        <rFont val="Century Gothic"/>
        <family val="2"/>
      </rPr>
      <t>Youth binge drinking.</t>
    </r>
    <r>
      <rPr>
        <sz val="11"/>
        <color rgb="FF000000"/>
        <rFont val="Century Gothic"/>
        <family val="2"/>
      </rPr>
      <t xml:space="preserve"> Percent of high school youth that report binge drinking, defined as consuming more than four (women) or five (men) alcoholic beverages on a single occasion in the past 30 days (2019)</t>
    </r>
  </si>
  <si>
    <t>Percent of high school youth that report binge drinking, defined as consuming more than four (women) or five (men) alcoholic beverages on a single occasion in the past 30 days.</t>
  </si>
  <si>
    <r>
      <rPr>
        <b/>
        <sz val="11"/>
        <color rgb="FF000000"/>
        <rFont val="Century Gothic"/>
        <family val="2"/>
      </rPr>
      <t>Youth considering suicide.</t>
    </r>
    <r>
      <rPr>
        <sz val="11"/>
        <color rgb="FF000000"/>
        <rFont val="Century Gothic"/>
        <family val="2"/>
      </rPr>
      <t xml:space="preserve"> Percent of youth who reported seriously considering attempting suicide in the past 12 months (2019)</t>
    </r>
  </si>
  <si>
    <t xml:space="preserve">Percent of youth who reported seriously considering attempting suicide in the past 12 months. </t>
  </si>
  <si>
    <r>
      <rPr>
        <b/>
        <sz val="11"/>
        <color rgb="FF000000"/>
        <rFont val="Century Gothic"/>
        <family val="2"/>
      </rPr>
      <t>Youth suicide attempt.</t>
    </r>
    <r>
      <rPr>
        <sz val="11"/>
        <color rgb="FF000000"/>
        <rFont val="Century Gothic"/>
        <family val="2"/>
      </rPr>
      <t xml:space="preserve"> Percent of youth who reported attempting suicide in the past 12 months (2019)</t>
    </r>
  </si>
  <si>
    <t xml:space="preserve">Percent of youth who reported attempting suicide one or more times in the past 12 months. </t>
  </si>
  <si>
    <r>
      <rPr>
        <b/>
        <sz val="11"/>
        <rFont val="Century Gothic"/>
        <family val="2"/>
      </rPr>
      <t>Excessive drinking.</t>
    </r>
    <r>
      <rPr>
        <sz val="11"/>
        <rFont val="Century Gothic"/>
        <family val="2"/>
      </rPr>
      <t xml:space="preserve"> Percent of adults that report either binge drinking, defined as consuming more than four (women) or five (men) alcoholic beverages on a single occasion in the past 30 days, or heavy drinking, defined as having 7 or more (women) or 14 or more (men) drinks per week (2020-2021)</t>
    </r>
  </si>
  <si>
    <t>Percent of adults that report either binge drinking, defined as consuming more than 4 (women) or 5 (men) alcoholic beverages on a single occasion in the past 30 days, or chronic drinking, defined as having eight or more (women) or 15 or more (men) drinks per week.</t>
  </si>
  <si>
    <r>
      <rPr>
        <b/>
        <sz val="11"/>
        <rFont val="Century Gothic"/>
        <family val="2"/>
      </rPr>
      <t>Physical inactivity.</t>
    </r>
    <r>
      <rPr>
        <sz val="11"/>
        <rFont val="Century Gothic"/>
        <family val="2"/>
      </rPr>
      <t xml:space="preserve"> Percent of adults, ages 18 and older, reporting no leisure time physical activity during the past 30 days.  (2020-2021)</t>
    </r>
  </si>
  <si>
    <t>Percent of adults, ages 18 and older, reporting no physical activity during the past 30 days other than their regular job.</t>
  </si>
  <si>
    <r>
      <rPr>
        <b/>
        <sz val="11"/>
        <rFont val="Century Gothic"/>
        <family val="2"/>
      </rPr>
      <t xml:space="preserve">Adult smoking. </t>
    </r>
    <r>
      <rPr>
        <sz val="11"/>
        <rFont val="Century Gothic"/>
        <family val="2"/>
      </rPr>
      <t>Percent of adults, ages 18 and older, who currently smoke. (2020-2021)</t>
    </r>
  </si>
  <si>
    <t>Percent of adults, ages 18 and older, who currently smoke.</t>
  </si>
  <si>
    <r>
      <rPr>
        <b/>
        <sz val="11"/>
        <rFont val="Century Gothic"/>
        <family val="2"/>
      </rPr>
      <t>Adult depression.</t>
    </r>
    <r>
      <rPr>
        <sz val="11"/>
        <rFont val="Century Gothic"/>
        <family val="2"/>
      </rPr>
      <t xml:space="preserve"> Percent of adults who have ever been told by a health professional that they have depression.  (2020-2021)</t>
    </r>
  </si>
  <si>
    <t xml:space="preserve">Percent of adults who have ever been told by a doctor, nurse or other health professional they have a form of depression. </t>
  </si>
  <si>
    <r>
      <rPr>
        <b/>
        <sz val="11"/>
        <rFont val="Century Gothic"/>
        <family val="2"/>
      </rPr>
      <t>Adult diabetes.</t>
    </r>
    <r>
      <rPr>
        <sz val="11"/>
        <rFont val="Century Gothic"/>
        <family val="2"/>
      </rPr>
      <t xml:space="preserve"> Percent of adults who have ever been told by a health professional that they have diabetes.  (2020-2021)</t>
    </r>
  </si>
  <si>
    <r>
      <rPr>
        <b/>
        <sz val="11"/>
        <rFont val="Century Gothic"/>
        <family val="2"/>
      </rPr>
      <t>Overall health status.</t>
    </r>
    <r>
      <rPr>
        <sz val="11"/>
        <rFont val="Century Gothic"/>
        <family val="2"/>
      </rPr>
      <t xml:space="preserve"> Percent of adults who report fair or poor health.  (2020-2021)</t>
    </r>
  </si>
  <si>
    <t>Percent of adults that report fair or poor health.</t>
  </si>
  <si>
    <r>
      <t>2023</t>
    </r>
    <r>
      <rPr>
        <b/>
        <i/>
        <sz val="11"/>
        <color theme="1"/>
        <rFont val="Century Gothic"/>
        <family val="2"/>
      </rPr>
      <t xml:space="preserve"> Health Value Dashboard </t>
    </r>
    <r>
      <rPr>
        <b/>
        <sz val="11"/>
        <color theme="1"/>
        <rFont val="Century Gothic"/>
        <family val="2"/>
      </rPr>
      <t>equity appendix (updated April 26,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</si>
</sst>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entury Gothic"/>
      <family val="2"/>
    </font>
    <font>
      <sz val="11"/>
      <color theme="1"/>
      <name val="Calibri"/>
      <family val="2"/>
      <scheme val="minor"/>
    </font>
    <font>
      <sz val="11"/>
      <color theme="1"/>
      <name val="Century Gothic"/>
      <family val="2"/>
    </font>
    <font>
      <b/>
      <sz val="11"/>
      <color theme="0"/>
      <name val="Century Gothic"/>
      <family val="2"/>
    </font>
    <font>
      <b/>
      <sz val="11"/>
      <color theme="1"/>
      <name val="Century Gothic"/>
      <family val="2"/>
    </font>
    <font>
      <sz val="11"/>
      <color theme="0"/>
      <name val="Century Gothic"/>
      <family val="2"/>
    </font>
    <font>
      <b/>
      <sz val="14"/>
      <color theme="0"/>
      <name val="Century Gothic"/>
      <family val="2"/>
    </font>
    <font>
      <sz val="11"/>
      <color rgb="FF000000"/>
      <name val="Century Gothic"/>
      <family val="2"/>
    </font>
    <font>
      <sz val="11"/>
      <name val="Century Gothic"/>
      <family val="2"/>
    </font>
    <font>
      <b/>
      <sz val="11"/>
      <color rgb="FF000000"/>
      <name val="Century Gothic"/>
      <family val="2"/>
    </font>
    <font>
      <b/>
      <sz val="11"/>
      <name val="Century Gothic"/>
      <family val="2"/>
    </font>
    <font>
      <sz val="11"/>
      <color theme="1"/>
      <name val="Century Gothic"/>
      <family val="1"/>
    </font>
    <font>
      <sz val="11"/>
      <color theme="0"/>
      <name val="Century Gothic"/>
      <family val="1"/>
    </font>
    <font>
      <b/>
      <sz val="11"/>
      <color theme="0"/>
      <name val="Century Gothic"/>
      <family val="1"/>
    </font>
    <font>
      <b/>
      <sz val="11"/>
      <color theme="1"/>
      <name val="Century Gothic"/>
      <family val="1"/>
    </font>
    <font>
      <sz val="11"/>
      <color rgb="FF000000"/>
      <name val="Century Gothic"/>
      <family val="1"/>
    </font>
    <font>
      <b/>
      <sz val="11"/>
      <color rgb="FF000000"/>
      <name val="Century Gothic"/>
      <family val="1"/>
    </font>
    <font>
      <b/>
      <sz val="11"/>
      <name val="Century Gothic"/>
      <family val="1"/>
    </font>
    <font>
      <sz val="11"/>
      <name val="Century Gothic"/>
      <family val="1"/>
    </font>
    <font>
      <sz val="11"/>
      <color theme="1"/>
      <name val="Century Gothic"/>
      <family val="2"/>
    </font>
    <font>
      <b/>
      <sz val="14"/>
      <color theme="0"/>
      <name val="Century Gothic"/>
      <family val="1"/>
    </font>
    <font>
      <sz val="14"/>
      <color theme="1"/>
      <name val="Century Gothic"/>
      <family val="1"/>
    </font>
    <font>
      <b/>
      <i/>
      <sz val="11"/>
      <color theme="1"/>
      <name val="Century Gothic"/>
      <family val="2"/>
    </font>
    <font>
      <sz val="11"/>
      <color rgb="FF000000"/>
      <name val="Century Gothic"/>
      <family val="2"/>
    </font>
  </fonts>
  <fills count="10">
    <fill>
      <patternFill patternType="none"/>
    </fill>
    <fill>
      <patternFill patternType="gray125"/>
    </fill>
    <fill>
      <patternFill patternType="solid">
        <fgColor rgb="FFFF9999"/>
        <bgColor indexed="64"/>
      </patternFill>
    </fill>
    <fill>
      <patternFill patternType="solid">
        <fgColor rgb="FFFF5050"/>
        <bgColor indexed="64"/>
      </patternFill>
    </fill>
    <fill>
      <patternFill patternType="solid">
        <fgColor rgb="FFCC0000"/>
        <bgColor indexed="64"/>
      </patternFill>
    </fill>
    <fill>
      <patternFill patternType="solid">
        <fgColor rgb="FF5E82AB"/>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9" fontId="2" fillId="0" borderId="0" applyFont="0" applyFill="0" applyBorder="0" applyAlignment="0" applyProtection="0"/>
    <xf numFmtId="0" fontId="1" fillId="0" borderId="0"/>
  </cellStyleXfs>
  <cellXfs count="74">
    <xf numFmtId="0" fontId="0" fillId="0" borderId="0" xfId="0"/>
    <xf numFmtId="0" fontId="0" fillId="0" borderId="0" xfId="0" applyAlignment="1">
      <alignment wrapText="1"/>
    </xf>
    <xf numFmtId="0" fontId="0" fillId="0" borderId="0" xfId="0" applyAlignment="1">
      <alignment vertical="top"/>
    </xf>
    <xf numFmtId="0" fontId="3" fillId="5" borderId="1" xfId="0" applyFont="1" applyFill="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65" fontId="0" fillId="0" borderId="1" xfId="0" applyNumberFormat="1" applyBorder="1" applyAlignment="1">
      <alignment horizontal="left" vertical="top" wrapText="1"/>
    </xf>
    <xf numFmtId="9" fontId="0" fillId="0" borderId="1" xfId="0" applyNumberFormat="1" applyBorder="1"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0" fillId="0" borderId="1" xfId="0" applyBorder="1"/>
    <xf numFmtId="0" fontId="2" fillId="0" borderId="1" xfId="0" applyFont="1" applyBorder="1" applyAlignment="1">
      <alignment horizontal="left" vertical="top" wrapText="1"/>
    </xf>
    <xf numFmtId="0" fontId="0" fillId="0" borderId="1" xfId="0" applyBorder="1" applyAlignment="1">
      <alignment wrapText="1"/>
    </xf>
    <xf numFmtId="0" fontId="7" fillId="0" borderId="1" xfId="0" applyFont="1" applyBorder="1" applyAlignment="1">
      <alignment horizontal="left" vertical="top" wrapText="1"/>
    </xf>
    <xf numFmtId="0" fontId="0" fillId="0" borderId="0" xfId="0" applyAlignment="1">
      <alignment horizontal="left" vertical="top" wrapText="1"/>
    </xf>
    <xf numFmtId="10" fontId="0" fillId="0" borderId="1" xfId="0" applyNumberFormat="1" applyBorder="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8" fillId="0" borderId="1" xfId="0" applyFont="1" applyBorder="1" applyAlignment="1">
      <alignment horizontal="left" vertical="top" wrapText="1"/>
    </xf>
    <xf numFmtId="0" fontId="0" fillId="8" borderId="1" xfId="0" applyFill="1" applyBorder="1" applyAlignment="1">
      <alignment horizontal="left" vertical="top" wrapText="1"/>
    </xf>
    <xf numFmtId="0" fontId="6" fillId="5" borderId="1" xfId="0" applyFont="1" applyFill="1" applyBorder="1" applyAlignment="1">
      <alignment horizontal="left" vertical="top" wrapText="1"/>
    </xf>
    <xf numFmtId="165" fontId="8" fillId="0" borderId="1" xfId="0" applyNumberFormat="1" applyFont="1" applyBorder="1" applyAlignment="1">
      <alignment horizontal="left" vertical="top" wrapText="1"/>
    </xf>
    <xf numFmtId="165" fontId="0" fillId="0" borderId="1" xfId="1" applyNumberFormat="1" applyFont="1" applyBorder="1" applyAlignment="1">
      <alignment horizontal="left"/>
    </xf>
    <xf numFmtId="165" fontId="0" fillId="7" borderId="1" xfId="1" applyNumberFormat="1" applyFont="1" applyFill="1" applyBorder="1" applyAlignment="1">
      <alignment horizontal="left"/>
    </xf>
    <xf numFmtId="0" fontId="0" fillId="0" borderId="1" xfId="0" applyBorder="1" applyAlignment="1">
      <alignment horizontal="left"/>
    </xf>
    <xf numFmtId="165" fontId="0" fillId="0" borderId="1" xfId="0" applyNumberFormat="1" applyBorder="1" applyAlignment="1">
      <alignment horizontal="left"/>
    </xf>
    <xf numFmtId="165" fontId="0" fillId="7" borderId="1" xfId="0" applyNumberFormat="1" applyFill="1" applyBorder="1" applyAlignment="1">
      <alignment horizontal="left"/>
    </xf>
    <xf numFmtId="165" fontId="0" fillId="0" borderId="1" xfId="0" applyNumberFormat="1" applyBorder="1"/>
    <xf numFmtId="3" fontId="0" fillId="0" borderId="1" xfId="0" applyNumberFormat="1" applyBorder="1" applyAlignment="1">
      <alignment horizontal="left" vertical="top" wrapText="1"/>
    </xf>
    <xf numFmtId="164" fontId="8" fillId="6" borderId="1" xfId="0" applyNumberFormat="1" applyFont="1" applyFill="1" applyBorder="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1" fontId="0" fillId="0" borderId="1" xfId="0" applyNumberFormat="1" applyBorder="1" applyAlignment="1">
      <alignment horizontal="left" vertical="top" wrapText="1"/>
    </xf>
    <xf numFmtId="3" fontId="0" fillId="0" borderId="0" xfId="0" applyNumberForma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165" fontId="0" fillId="0" borderId="0" xfId="0" applyNumberFormat="1" applyAlignment="1">
      <alignment horizontal="left" vertical="top" wrapText="1"/>
    </xf>
    <xf numFmtId="0" fontId="0" fillId="7" borderId="7" xfId="0" applyFill="1" applyBorder="1"/>
    <xf numFmtId="0" fontId="0" fillId="7" borderId="0" xfId="0" applyFill="1"/>
    <xf numFmtId="0" fontId="0" fillId="0" borderId="8" xfId="0" applyBorder="1"/>
    <xf numFmtId="0" fontId="5" fillId="2" borderId="7" xfId="0" applyFont="1" applyFill="1" applyBorder="1"/>
    <xf numFmtId="0" fontId="5" fillId="3" borderId="7" xfId="0" applyFont="1" applyFill="1" applyBorder="1"/>
    <xf numFmtId="0" fontId="5" fillId="4" borderId="7" xfId="0" applyFont="1" applyFill="1" applyBorder="1"/>
    <xf numFmtId="0" fontId="8" fillId="0" borderId="7" xfId="0" applyFont="1" applyBorder="1" applyAlignment="1">
      <alignment vertical="top"/>
    </xf>
    <xf numFmtId="0" fontId="0" fillId="0" borderId="8" xfId="0" applyBorder="1" applyAlignment="1">
      <alignment vertical="top"/>
    </xf>
    <xf numFmtId="0" fontId="0" fillId="0" borderId="7" xfId="0" applyBorder="1" applyAlignment="1">
      <alignment vertical="top"/>
    </xf>
    <xf numFmtId="165" fontId="2" fillId="0" borderId="1" xfId="0" applyNumberFormat="1" applyFont="1" applyBorder="1" applyAlignment="1">
      <alignment horizontal="left" vertical="top" wrapText="1"/>
    </xf>
    <xf numFmtId="1"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165" fontId="8" fillId="0" borderId="1" xfId="1" applyNumberFormat="1" applyFont="1" applyFill="1" applyBorder="1" applyAlignment="1">
      <alignment horizontal="left" vertical="top" wrapText="1"/>
    </xf>
    <xf numFmtId="3" fontId="8" fillId="0" borderId="1" xfId="0" applyNumberFormat="1" applyFont="1" applyBorder="1" applyAlignment="1">
      <alignment horizontal="left" vertical="top" wrapText="1"/>
    </xf>
    <xf numFmtId="165" fontId="2" fillId="0" borderId="1" xfId="1" applyNumberFormat="1" applyFont="1" applyBorder="1" applyAlignment="1">
      <alignment horizontal="left" vertical="top"/>
    </xf>
    <xf numFmtId="1" fontId="2" fillId="0" borderId="1" xfId="1" applyNumberFormat="1" applyFont="1" applyBorder="1" applyAlignment="1">
      <alignment horizontal="left" vertical="top" wrapText="1"/>
    </xf>
    <xf numFmtId="0" fontId="8" fillId="9"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0" fillId="5" borderId="1" xfId="0" applyFont="1" applyFill="1" applyBorder="1" applyAlignment="1">
      <alignment horizontal="left" vertical="top" wrapText="1"/>
    </xf>
    <xf numFmtId="0" fontId="4" fillId="0" borderId="0" xfId="0" applyFont="1" applyAlignment="1">
      <alignment horizontal="left" vertical="top" wrapText="1"/>
    </xf>
    <xf numFmtId="0" fontId="6" fillId="5" borderId="1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6" xfId="0" applyFont="1" applyFill="1" applyBorder="1" applyAlignment="1">
      <alignment horizontal="left" vertical="top" wrapText="1"/>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lignment horizontal="left" vertical="top" wrapText="1"/>
    </xf>
    <xf numFmtId="0" fontId="6" fillId="5" borderId="5"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2" xfId="0" applyFont="1" applyFill="1" applyBorder="1" applyAlignment="1">
      <alignment horizontal="left" vertical="top" wrapText="1"/>
    </xf>
  </cellXfs>
  <cellStyles count="3">
    <cellStyle name="Normal" xfId="0" builtinId="0"/>
    <cellStyle name="Normal 3" xfId="2" xr:uid="{81822CEF-A6E4-4607-AA1A-539F32014B18}"/>
    <cellStyle name="Percent" xfId="1" builtinId="5"/>
  </cellStyles>
  <dxfs count="15">
    <dxf>
      <fill>
        <patternFill>
          <bgColor rgb="FFFFCCCC"/>
        </patternFill>
      </fill>
    </dxf>
    <dxf>
      <fill>
        <patternFill>
          <bgColor rgb="FFFF7C80"/>
        </patternFill>
      </fill>
    </dxf>
    <dxf>
      <font>
        <color theme="0"/>
      </font>
      <fill>
        <patternFill>
          <bgColor rgb="FFA50021"/>
        </patternFill>
      </fill>
    </dxf>
    <dxf>
      <font>
        <color auto="1"/>
      </font>
      <fill>
        <patternFill>
          <bgColor theme="0"/>
        </patternFill>
      </fill>
    </dxf>
    <dxf>
      <fill>
        <patternFill>
          <bgColor rgb="FFFFCCCC"/>
        </patternFill>
      </fill>
    </dxf>
    <dxf>
      <fill>
        <patternFill>
          <bgColor rgb="FFFF7C80"/>
        </patternFill>
      </fill>
    </dxf>
    <dxf>
      <font>
        <color theme="0"/>
      </font>
      <fill>
        <patternFill>
          <bgColor rgb="FFA50021"/>
        </patternFill>
      </fill>
    </dxf>
    <dxf>
      <font>
        <color auto="1"/>
      </font>
      <fill>
        <patternFill>
          <bgColor theme="0"/>
        </patternFill>
      </fill>
    </dxf>
    <dxf>
      <fill>
        <patternFill>
          <bgColor rgb="FFFFCCCC"/>
        </patternFill>
      </fill>
    </dxf>
    <dxf>
      <fill>
        <patternFill>
          <bgColor rgb="FFFF7C80"/>
        </patternFill>
      </fill>
    </dxf>
    <dxf>
      <font>
        <color theme="0"/>
      </font>
      <fill>
        <patternFill>
          <bgColor rgb="FFA50021"/>
        </patternFill>
      </fill>
    </dxf>
    <dxf>
      <font>
        <color auto="1"/>
      </font>
      <fill>
        <patternFill patternType="none">
          <bgColor auto="1"/>
        </patternFill>
      </fill>
    </dxf>
    <dxf>
      <fill>
        <patternFill>
          <bgColor rgb="FFFFCCCC"/>
        </patternFill>
      </fill>
    </dxf>
    <dxf>
      <fill>
        <patternFill>
          <bgColor rgb="FFFF5050"/>
        </patternFill>
      </fill>
    </dxf>
    <dxf>
      <font>
        <color theme="0"/>
      </font>
      <fill>
        <patternFill>
          <bgColor rgb="FFA50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326F-8C9E-4B96-B47F-5D532CA0B12E}">
  <dimension ref="A1:M44"/>
  <sheetViews>
    <sheetView tabSelected="1" topLeftCell="A40" zoomScaleNormal="100" workbookViewId="0">
      <selection activeCell="A45" sqref="A45:XFD46"/>
    </sheetView>
  </sheetViews>
  <sheetFormatPr defaultColWidth="9" defaultRowHeight="13.8" x14ac:dyDescent="0.25"/>
  <cols>
    <col min="1" max="1" width="19" style="30" customWidth="1"/>
    <col min="2" max="2" width="43.69921875" style="30" customWidth="1"/>
    <col min="3" max="3" width="69.19921875" style="30" customWidth="1"/>
    <col min="4" max="4" width="13.69921875" style="30" customWidth="1"/>
    <col min="5" max="7" width="14" style="30" customWidth="1"/>
    <col min="8" max="9" width="16.69921875" style="30" customWidth="1"/>
    <col min="10" max="11" width="15.69921875" style="30" customWidth="1"/>
    <col min="12" max="13" width="68.19921875" style="30" customWidth="1"/>
    <col min="14" max="16378" width="9" style="30"/>
    <col min="16379" max="16379" width="9" style="30" bestFit="1"/>
    <col min="16380" max="16384" width="9" style="30"/>
  </cols>
  <sheetData>
    <row r="1" spans="1:13" customFormat="1" ht="13.95" customHeight="1" x14ac:dyDescent="0.25">
      <c r="A1" s="60" t="s">
        <v>0</v>
      </c>
      <c r="B1" s="60"/>
      <c r="C1" s="60"/>
    </row>
    <row r="2" spans="1:13" customFormat="1" ht="13.95" customHeight="1" x14ac:dyDescent="0.25">
      <c r="A2" s="60" t="s">
        <v>256</v>
      </c>
      <c r="B2" s="60"/>
      <c r="C2" s="60"/>
    </row>
    <row r="3" spans="1:13" customFormat="1" x14ac:dyDescent="0.25"/>
    <row r="4" spans="1:13" customFormat="1" ht="17.399999999999999" x14ac:dyDescent="0.25">
      <c r="A4" s="61" t="s">
        <v>1</v>
      </c>
      <c r="B4" s="62"/>
      <c r="C4" s="63"/>
    </row>
    <row r="5" spans="1:13" customFormat="1" x14ac:dyDescent="0.25">
      <c r="A5" s="40" t="s">
        <v>2</v>
      </c>
      <c r="B5" s="64" t="s">
        <v>3</v>
      </c>
      <c r="C5" s="65"/>
      <c r="D5" s="2"/>
      <c r="E5" s="2"/>
    </row>
    <row r="6" spans="1:13" customFormat="1" x14ac:dyDescent="0.25">
      <c r="A6" s="41" t="s">
        <v>4</v>
      </c>
      <c r="B6" s="64" t="s">
        <v>5</v>
      </c>
      <c r="C6" s="65"/>
      <c r="D6" s="2"/>
      <c r="E6" s="2"/>
    </row>
    <row r="7" spans="1:13" customFormat="1" x14ac:dyDescent="0.25">
      <c r="A7" s="42" t="s">
        <v>6</v>
      </c>
      <c r="B7" s="64" t="s">
        <v>7</v>
      </c>
      <c r="C7" s="65"/>
      <c r="D7" s="2"/>
      <c r="E7" s="2"/>
    </row>
    <row r="8" spans="1:13" customFormat="1" x14ac:dyDescent="0.25">
      <c r="A8" s="43" t="s">
        <v>8</v>
      </c>
      <c r="B8" s="64" t="s">
        <v>9</v>
      </c>
      <c r="C8" s="65"/>
      <c r="D8" s="2"/>
      <c r="E8" s="2"/>
    </row>
    <row r="9" spans="1:13" customFormat="1" ht="13.95" customHeight="1" x14ac:dyDescent="0.25">
      <c r="A9" s="45" t="s">
        <v>10</v>
      </c>
      <c r="B9" s="44"/>
      <c r="C9" s="44"/>
      <c r="D9" s="8"/>
      <c r="E9" s="2"/>
    </row>
    <row r="10" spans="1:13" customFormat="1" ht="93.6" customHeight="1" x14ac:dyDescent="0.25">
      <c r="A10" s="66" t="s">
        <v>11</v>
      </c>
      <c r="B10" s="67"/>
      <c r="C10" s="68"/>
      <c r="D10" s="2"/>
      <c r="E10" s="2"/>
    </row>
    <row r="12" spans="1:13" s="31" customFormat="1" ht="17.399999999999999" x14ac:dyDescent="0.25">
      <c r="A12" s="59" t="s">
        <v>12</v>
      </c>
      <c r="B12" s="59"/>
      <c r="C12" s="59"/>
      <c r="D12" s="59" t="s">
        <v>13</v>
      </c>
      <c r="E12" s="59"/>
      <c r="F12" s="59"/>
      <c r="G12" s="59"/>
      <c r="H12" s="59" t="s">
        <v>14</v>
      </c>
      <c r="I12" s="59"/>
      <c r="J12" s="59" t="s">
        <v>15</v>
      </c>
      <c r="K12" s="59"/>
      <c r="L12" s="59" t="s">
        <v>16</v>
      </c>
      <c r="M12" s="59"/>
    </row>
    <row r="13" spans="1:13" ht="82.8" x14ac:dyDescent="0.25">
      <c r="A13" s="3" t="s">
        <v>17</v>
      </c>
      <c r="B13" s="3" t="s">
        <v>18</v>
      </c>
      <c r="C13" s="3" t="s">
        <v>19</v>
      </c>
      <c r="D13" s="3" t="s">
        <v>20</v>
      </c>
      <c r="E13" s="3" t="s">
        <v>21</v>
      </c>
      <c r="F13" s="3" t="s">
        <v>22</v>
      </c>
      <c r="G13" s="3" t="s">
        <v>23</v>
      </c>
      <c r="H13" s="3" t="s">
        <v>24</v>
      </c>
      <c r="I13" s="3" t="s">
        <v>25</v>
      </c>
      <c r="J13" s="3" t="s">
        <v>26</v>
      </c>
      <c r="K13" s="3" t="s">
        <v>27</v>
      </c>
      <c r="L13" s="3" t="s">
        <v>28</v>
      </c>
      <c r="M13" s="3" t="s">
        <v>29</v>
      </c>
    </row>
    <row r="14" spans="1:13" s="8" customFormat="1" ht="27.6" x14ac:dyDescent="0.25">
      <c r="A14" s="4" t="s">
        <v>30</v>
      </c>
      <c r="B14" s="13" t="s">
        <v>31</v>
      </c>
      <c r="C14" s="4" t="s">
        <v>32</v>
      </c>
      <c r="D14" s="4">
        <v>5.0999999999999996</v>
      </c>
      <c r="E14" s="4">
        <v>13.6</v>
      </c>
      <c r="F14" s="4">
        <v>5.2</v>
      </c>
      <c r="G14" s="4">
        <v>4.0999999999999996</v>
      </c>
      <c r="H14" s="5">
        <f>E14/D14</f>
        <v>2.666666666666667</v>
      </c>
      <c r="I14" s="32" t="s">
        <v>8</v>
      </c>
      <c r="J14" s="28">
        <v>203.49850000000001</v>
      </c>
      <c r="K14" s="28">
        <v>0.76720000000000255</v>
      </c>
      <c r="L14" s="4" t="s">
        <v>33</v>
      </c>
      <c r="M14" s="18" t="s">
        <v>34</v>
      </c>
    </row>
    <row r="15" spans="1:13" s="8" customFormat="1" ht="69" x14ac:dyDescent="0.25">
      <c r="A15" s="4" t="s">
        <v>30</v>
      </c>
      <c r="B15" s="13" t="s">
        <v>35</v>
      </c>
      <c r="C15" s="4" t="s">
        <v>36</v>
      </c>
      <c r="D15" s="5">
        <v>7758.4</v>
      </c>
      <c r="E15" s="5">
        <v>12203.5</v>
      </c>
      <c r="F15" s="5">
        <v>5241.7</v>
      </c>
      <c r="G15" s="5">
        <v>2800</v>
      </c>
      <c r="H15" s="5">
        <f t="shared" ref="H15:H44" si="0">E15/D15</f>
        <v>1.5729402969684472</v>
      </c>
      <c r="I15" s="5">
        <f t="shared" ref="I15:I42" si="1">F15/D15</f>
        <v>0.67561610641369352</v>
      </c>
      <c r="J15" s="28" t="s">
        <v>37</v>
      </c>
      <c r="K15" s="28" t="s">
        <v>8</v>
      </c>
      <c r="L15" s="4" t="s">
        <v>38</v>
      </c>
      <c r="M15" s="18" t="s">
        <v>39</v>
      </c>
    </row>
    <row r="16" spans="1:13" s="8" customFormat="1" ht="41.4" x14ac:dyDescent="0.25">
      <c r="A16" s="4" t="s">
        <v>30</v>
      </c>
      <c r="B16" s="13" t="s">
        <v>40</v>
      </c>
      <c r="C16" s="4" t="s">
        <v>41</v>
      </c>
      <c r="D16" s="6">
        <v>0.127</v>
      </c>
      <c r="E16" s="6">
        <v>0.127</v>
      </c>
      <c r="F16" s="6">
        <v>0.13200000000000001</v>
      </c>
      <c r="G16" s="6" t="s">
        <v>8</v>
      </c>
      <c r="H16" s="5">
        <f t="shared" si="0"/>
        <v>1</v>
      </c>
      <c r="I16" s="5">
        <f t="shared" si="1"/>
        <v>1.0393700787401574</v>
      </c>
      <c r="J16" s="28" t="s">
        <v>8</v>
      </c>
      <c r="K16" s="28">
        <v>1538.4800000000032</v>
      </c>
      <c r="L16" s="4" t="s">
        <v>42</v>
      </c>
      <c r="M16" s="18" t="s">
        <v>43</v>
      </c>
    </row>
    <row r="17" spans="1:13" s="8" customFormat="1" ht="41.4" x14ac:dyDescent="0.25">
      <c r="A17" s="4" t="s">
        <v>30</v>
      </c>
      <c r="B17" s="4" t="s">
        <v>44</v>
      </c>
      <c r="C17" s="4" t="s">
        <v>45</v>
      </c>
      <c r="D17" s="5">
        <v>195</v>
      </c>
      <c r="E17" s="5">
        <v>242.5</v>
      </c>
      <c r="F17" s="5">
        <v>90</v>
      </c>
      <c r="G17" s="4">
        <v>80.599999999999994</v>
      </c>
      <c r="H17" s="5">
        <f t="shared" si="0"/>
        <v>1.2435897435897436</v>
      </c>
      <c r="I17" s="5">
        <f t="shared" si="1"/>
        <v>0.46153846153846156</v>
      </c>
      <c r="J17" s="28">
        <v>680.50685000000021</v>
      </c>
      <c r="K17" s="28" t="s">
        <v>8</v>
      </c>
      <c r="L17" s="4" t="s">
        <v>46</v>
      </c>
      <c r="M17" s="18" t="s">
        <v>47</v>
      </c>
    </row>
    <row r="18" spans="1:13" s="8" customFormat="1" ht="55.2" x14ac:dyDescent="0.25">
      <c r="A18" s="4" t="s">
        <v>30</v>
      </c>
      <c r="B18" s="4" t="s">
        <v>48</v>
      </c>
      <c r="C18" s="4" t="s">
        <v>49</v>
      </c>
      <c r="D18" s="6">
        <v>0.115</v>
      </c>
      <c r="E18" s="6">
        <v>0.126</v>
      </c>
      <c r="F18" s="6">
        <v>7.1999999999999995E-2</v>
      </c>
      <c r="G18" s="6" t="s">
        <v>8</v>
      </c>
      <c r="H18" s="5">
        <f t="shared" si="0"/>
        <v>1.0956521739130434</v>
      </c>
      <c r="I18" s="5">
        <f t="shared" si="1"/>
        <v>0.62608695652173907</v>
      </c>
      <c r="J18" s="28">
        <v>9810.0090000000055</v>
      </c>
      <c r="K18" s="28" t="s">
        <v>8</v>
      </c>
      <c r="L18" s="4" t="s">
        <v>50</v>
      </c>
      <c r="M18" s="18" t="s">
        <v>51</v>
      </c>
    </row>
    <row r="19" spans="1:13" s="8" customFormat="1" ht="41.4" x14ac:dyDescent="0.25">
      <c r="A19" s="4" t="s">
        <v>30</v>
      </c>
      <c r="B19" s="13" t="s">
        <v>52</v>
      </c>
      <c r="C19" s="4" t="s">
        <v>53</v>
      </c>
      <c r="D19" s="6">
        <v>0.22800000000000001</v>
      </c>
      <c r="E19" s="6">
        <v>0.16200000000000001</v>
      </c>
      <c r="F19" s="15">
        <v>0.217</v>
      </c>
      <c r="G19" s="6" t="s">
        <v>8</v>
      </c>
      <c r="H19" s="5">
        <f t="shared" si="0"/>
        <v>0.71052631578947367</v>
      </c>
      <c r="I19" s="5">
        <f>F19/D19</f>
        <v>0.95175438596491224</v>
      </c>
      <c r="J19" s="28" t="s">
        <v>8</v>
      </c>
      <c r="K19" s="28" t="s">
        <v>8</v>
      </c>
      <c r="L19" s="4" t="s">
        <v>54</v>
      </c>
      <c r="M19" s="18" t="s">
        <v>43</v>
      </c>
    </row>
    <row r="20" spans="1:13" s="8" customFormat="1" ht="41.4" x14ac:dyDescent="0.25">
      <c r="A20" s="4" t="s">
        <v>55</v>
      </c>
      <c r="B20" s="13" t="s">
        <v>56</v>
      </c>
      <c r="C20" s="4" t="s">
        <v>57</v>
      </c>
      <c r="D20" s="6">
        <v>7.1999999999999995E-2</v>
      </c>
      <c r="E20" s="6">
        <v>0.114</v>
      </c>
      <c r="F20" s="6">
        <v>0.17599999999999999</v>
      </c>
      <c r="G20" s="6" t="s">
        <v>8</v>
      </c>
      <c r="H20" s="5">
        <f t="shared" si="0"/>
        <v>1.5833333333333335</v>
      </c>
      <c r="I20" s="5">
        <f>F20/D20</f>
        <v>2.4444444444444446</v>
      </c>
      <c r="J20" s="28">
        <v>44449.398000000016</v>
      </c>
      <c r="K20" s="28">
        <v>32000.384000000002</v>
      </c>
      <c r="L20" s="4" t="s">
        <v>54</v>
      </c>
      <c r="M20" s="18" t="s">
        <v>43</v>
      </c>
    </row>
    <row r="21" spans="1:13" s="8" customFormat="1" ht="27.6" x14ac:dyDescent="0.25">
      <c r="A21" s="4" t="s">
        <v>55</v>
      </c>
      <c r="B21" s="13" t="s">
        <v>58</v>
      </c>
      <c r="C21" s="4" t="s">
        <v>59</v>
      </c>
      <c r="D21" s="6">
        <v>5.8000000000000003E-2</v>
      </c>
      <c r="E21" s="6">
        <v>0.08</v>
      </c>
      <c r="F21" s="6">
        <v>0.14599999999999999</v>
      </c>
      <c r="G21" s="6">
        <v>9.6000000000000002E-2</v>
      </c>
      <c r="H21" s="5">
        <f t="shared" si="0"/>
        <v>1.3793103448275861</v>
      </c>
      <c r="I21" s="5">
        <f t="shared" si="1"/>
        <v>2.5172413793103448</v>
      </c>
      <c r="J21" s="28">
        <v>19136.942000000003</v>
      </c>
      <c r="K21" s="28">
        <v>23891.559999999998</v>
      </c>
      <c r="L21" s="4" t="s">
        <v>60</v>
      </c>
      <c r="M21" s="18" t="s">
        <v>61</v>
      </c>
    </row>
    <row r="22" spans="1:13" s="8" customFormat="1" ht="55.2" x14ac:dyDescent="0.25">
      <c r="A22" s="4" t="s">
        <v>55</v>
      </c>
      <c r="B22" s="13" t="s">
        <v>62</v>
      </c>
      <c r="C22" s="4" t="s">
        <v>63</v>
      </c>
      <c r="D22" s="6">
        <f>(93259-66853)/93259</f>
        <v>0.28314693488027964</v>
      </c>
      <c r="E22" s="6">
        <v>0.38700000000000001</v>
      </c>
      <c r="F22" s="6">
        <v>0.40100000000000002</v>
      </c>
      <c r="G22" s="6">
        <v>0.312</v>
      </c>
      <c r="H22" s="5">
        <f t="shared" si="0"/>
        <v>1.3667815269256989</v>
      </c>
      <c r="I22" s="5">
        <f t="shared" si="1"/>
        <v>1.4162258198894191</v>
      </c>
      <c r="J22" s="28">
        <v>2426.0076011966676</v>
      </c>
      <c r="K22" s="28">
        <v>904.1687155984946</v>
      </c>
      <c r="L22" s="4" t="s">
        <v>46</v>
      </c>
      <c r="M22" s="18" t="s">
        <v>47</v>
      </c>
    </row>
    <row r="23" spans="1:13" s="8" customFormat="1" ht="41.4" x14ac:dyDescent="0.25">
      <c r="A23" s="4" t="s">
        <v>55</v>
      </c>
      <c r="B23" s="13" t="s">
        <v>64</v>
      </c>
      <c r="C23" s="4" t="s">
        <v>65</v>
      </c>
      <c r="D23" s="7">
        <f>100%-51.3%</f>
        <v>0.48699999999999999</v>
      </c>
      <c r="E23" s="6">
        <f>100%-42.2%</f>
        <v>0.57799999999999996</v>
      </c>
      <c r="F23" s="6">
        <f>100%-41.2%</f>
        <v>0.58799999999999997</v>
      </c>
      <c r="G23" s="6" t="s">
        <v>8</v>
      </c>
      <c r="H23" s="5">
        <f t="shared" si="0"/>
        <v>1.1868583162217659</v>
      </c>
      <c r="I23" s="5">
        <f t="shared" si="1"/>
        <v>1.2073921971252566</v>
      </c>
      <c r="J23" s="28" t="s">
        <v>8</v>
      </c>
      <c r="K23" s="28" t="s">
        <v>8</v>
      </c>
      <c r="L23" s="4" t="s">
        <v>66</v>
      </c>
      <c r="M23" s="18" t="s">
        <v>43</v>
      </c>
    </row>
    <row r="24" spans="1:13" ht="41.4" x14ac:dyDescent="0.25">
      <c r="A24" s="11" t="s">
        <v>67</v>
      </c>
      <c r="B24" s="11" t="s">
        <v>68</v>
      </c>
      <c r="C24" s="11" t="s">
        <v>69</v>
      </c>
      <c r="D24" s="46">
        <v>0.24199999999999999</v>
      </c>
      <c r="E24" s="46">
        <v>0.498</v>
      </c>
      <c r="F24" s="46">
        <v>0.39400000000000002</v>
      </c>
      <c r="G24" s="46">
        <v>0.14799999999999999</v>
      </c>
      <c r="H24" s="5">
        <f t="shared" si="0"/>
        <v>2.0578512396694215</v>
      </c>
      <c r="I24" s="5">
        <f t="shared" si="1"/>
        <v>1.6280991735537191</v>
      </c>
      <c r="J24" s="28">
        <v>71402.24000000002</v>
      </c>
      <c r="K24" s="28">
        <v>17735.815999999999</v>
      </c>
      <c r="L24" s="11" t="s">
        <v>70</v>
      </c>
      <c r="M24" s="18" t="s">
        <v>71</v>
      </c>
    </row>
    <row r="25" spans="1:13" ht="55.2" x14ac:dyDescent="0.25">
      <c r="A25" s="11" t="s">
        <v>67</v>
      </c>
      <c r="B25" s="11" t="s">
        <v>72</v>
      </c>
      <c r="C25" s="11" t="s">
        <v>73</v>
      </c>
      <c r="D25" s="47">
        <f>((20022+2423)/9110505)*100000</f>
        <v>246.36395018717405</v>
      </c>
      <c r="E25" s="47">
        <f>((18716+793 )/1406378)*100000</f>
        <v>1387.1804024238149</v>
      </c>
      <c r="F25" s="46" t="s">
        <v>8</v>
      </c>
      <c r="G25" s="46" t="s">
        <v>8</v>
      </c>
      <c r="H25" s="5">
        <f t="shared" si="0"/>
        <v>5.6306143872506915</v>
      </c>
      <c r="I25" s="32" t="s">
        <v>8</v>
      </c>
      <c r="J25" s="28">
        <v>16570.701213672881</v>
      </c>
      <c r="K25" s="28" t="s">
        <v>8</v>
      </c>
      <c r="L25" s="18" t="s">
        <v>74</v>
      </c>
      <c r="M25" s="18" t="s">
        <v>75</v>
      </c>
    </row>
    <row r="26" spans="1:13" ht="82.8" x14ac:dyDescent="0.25">
      <c r="A26" s="11" t="s">
        <v>67</v>
      </c>
      <c r="B26" s="11" t="s">
        <v>76</v>
      </c>
      <c r="C26" s="18" t="s">
        <v>77</v>
      </c>
      <c r="D26" s="48">
        <v>1567.5438276833531</v>
      </c>
      <c r="E26" s="48">
        <v>5896.8786082743318</v>
      </c>
      <c r="F26" s="46" t="s">
        <v>8</v>
      </c>
      <c r="G26" s="48">
        <v>283.41876132303355</v>
      </c>
      <c r="H26" s="5">
        <f t="shared" si="0"/>
        <v>3.7618588419242034</v>
      </c>
      <c r="I26" s="47" t="s">
        <v>8</v>
      </c>
      <c r="J26" s="28">
        <v>62884.886488518139</v>
      </c>
      <c r="K26" s="28" t="s">
        <v>8</v>
      </c>
      <c r="L26" s="13" t="s">
        <v>78</v>
      </c>
      <c r="M26" s="18" t="s">
        <v>79</v>
      </c>
    </row>
    <row r="27" spans="1:13" ht="41.4" x14ac:dyDescent="0.25">
      <c r="A27" s="11" t="s">
        <v>67</v>
      </c>
      <c r="B27" s="11" t="s">
        <v>80</v>
      </c>
      <c r="C27" s="11" t="s">
        <v>81</v>
      </c>
      <c r="D27" s="46">
        <v>0.13500000000000001</v>
      </c>
      <c r="E27" s="46">
        <v>0.39600000000000002</v>
      </c>
      <c r="F27" s="46">
        <v>0.28899999999999998</v>
      </c>
      <c r="G27" s="46">
        <v>0.11700000000000001</v>
      </c>
      <c r="H27" s="5">
        <f t="shared" si="0"/>
        <v>2.9333333333333331</v>
      </c>
      <c r="I27" s="5">
        <f t="shared" si="1"/>
        <v>2.1407407407407404</v>
      </c>
      <c r="J27" s="28">
        <v>98810.684999999998</v>
      </c>
      <c r="K27" s="28">
        <v>26629.371999999996</v>
      </c>
      <c r="L27" s="11" t="s">
        <v>82</v>
      </c>
      <c r="M27" s="18" t="s">
        <v>61</v>
      </c>
    </row>
    <row r="28" spans="1:13" ht="55.2" x14ac:dyDescent="0.25">
      <c r="A28" s="11" t="s">
        <v>67</v>
      </c>
      <c r="B28" s="13" t="s">
        <v>83</v>
      </c>
      <c r="C28" s="11" t="s">
        <v>84</v>
      </c>
      <c r="D28" s="46">
        <v>4.2999999999999997E-2</v>
      </c>
      <c r="E28" s="46">
        <v>0.106</v>
      </c>
      <c r="F28" s="46">
        <v>7.2999999999999995E-2</v>
      </c>
      <c r="G28" s="46">
        <v>3.7999999999999999E-2</v>
      </c>
      <c r="H28" s="5">
        <f t="shared" si="0"/>
        <v>2.4651162790697674</v>
      </c>
      <c r="I28" s="5">
        <f t="shared" si="1"/>
        <v>1.6976744186046513</v>
      </c>
      <c r="J28" s="28">
        <v>70116.858000000007</v>
      </c>
      <c r="K28" s="28">
        <v>9755.64</v>
      </c>
      <c r="L28" s="4" t="s">
        <v>85</v>
      </c>
      <c r="M28" s="18" t="s">
        <v>86</v>
      </c>
    </row>
    <row r="29" spans="1:13" ht="110.4" x14ac:dyDescent="0.25">
      <c r="A29" s="11" t="s">
        <v>67</v>
      </c>
      <c r="B29" s="11" t="s">
        <v>87</v>
      </c>
      <c r="C29" s="11" t="s">
        <v>88</v>
      </c>
      <c r="D29" s="46">
        <f>100%-90.3%</f>
        <v>9.6999999999999975E-2</v>
      </c>
      <c r="E29" s="46">
        <f>100%-76.1%</f>
        <v>0.2390000000000001</v>
      </c>
      <c r="F29" s="46">
        <f>100%-77.1%</f>
        <v>0.22900000000000009</v>
      </c>
      <c r="G29" s="46">
        <f>100%-92.7%</f>
        <v>7.2999999999999954E-2</v>
      </c>
      <c r="H29" s="5">
        <f t="shared" si="0"/>
        <v>2.4639175257731973</v>
      </c>
      <c r="I29" s="5">
        <f t="shared" si="1"/>
        <v>2.3608247422680426</v>
      </c>
      <c r="J29" s="28" t="s">
        <v>8</v>
      </c>
      <c r="K29" s="28" t="s">
        <v>8</v>
      </c>
      <c r="L29" s="11" t="s">
        <v>89</v>
      </c>
      <c r="M29" s="18" t="s">
        <v>71</v>
      </c>
    </row>
    <row r="30" spans="1:13" ht="41.4" x14ac:dyDescent="0.25">
      <c r="A30" s="11" t="s">
        <v>67</v>
      </c>
      <c r="B30" s="18" t="s">
        <v>90</v>
      </c>
      <c r="C30" s="11" t="s">
        <v>91</v>
      </c>
      <c r="D30" s="46">
        <v>9.18522730987993E-2</v>
      </c>
      <c r="E30" s="46">
        <v>0.18558522448592099</v>
      </c>
      <c r="F30" s="46">
        <v>0.13815780189384799</v>
      </c>
      <c r="G30" s="46">
        <v>6.7096703054360995E-2</v>
      </c>
      <c r="H30" s="5">
        <f t="shared" si="0"/>
        <v>2.020475032624391</v>
      </c>
      <c r="I30" s="5">
        <f t="shared" si="1"/>
        <v>1.5041304611508193</v>
      </c>
      <c r="J30" s="28">
        <v>17503.78507498249</v>
      </c>
      <c r="K30" s="28">
        <v>3481.2033492829651</v>
      </c>
      <c r="L30" s="13" t="s">
        <v>92</v>
      </c>
      <c r="M30" s="53" t="s">
        <v>93</v>
      </c>
    </row>
    <row r="31" spans="1:13" ht="151.80000000000001" x14ac:dyDescent="0.25">
      <c r="A31" s="11" t="s">
        <v>67</v>
      </c>
      <c r="B31" s="18" t="s">
        <v>94</v>
      </c>
      <c r="C31" s="18" t="s">
        <v>95</v>
      </c>
      <c r="D31" s="46">
        <v>0.212500351764252</v>
      </c>
      <c r="E31" s="46">
        <v>0.24773331915319199</v>
      </c>
      <c r="F31" s="46">
        <v>0.23980057302951899</v>
      </c>
      <c r="G31" s="46">
        <v>3.8504265357249802E-2</v>
      </c>
      <c r="H31" s="5">
        <f t="shared" si="0"/>
        <v>1.1658019250152936</v>
      </c>
      <c r="I31" s="5">
        <f t="shared" si="1"/>
        <v>1.1284714168170125</v>
      </c>
      <c r="J31" s="28">
        <v>13062.657892416886</v>
      </c>
      <c r="K31" s="28">
        <v>4720.6996607474357</v>
      </c>
      <c r="L31" s="13" t="s">
        <v>96</v>
      </c>
      <c r="M31" s="18" t="s">
        <v>93</v>
      </c>
    </row>
    <row r="32" spans="1:13" ht="55.2" x14ac:dyDescent="0.25">
      <c r="A32" s="11" t="s">
        <v>67</v>
      </c>
      <c r="B32" s="11" t="s">
        <v>97</v>
      </c>
      <c r="C32" s="11" t="s">
        <v>98</v>
      </c>
      <c r="D32" s="46">
        <f>29%+32%</f>
        <v>0.61</v>
      </c>
      <c r="E32" s="46">
        <f>64.3%+22%</f>
        <v>0.86299999999999999</v>
      </c>
      <c r="F32" s="46">
        <v>0.86699999999999999</v>
      </c>
      <c r="G32" s="46" t="s">
        <v>8</v>
      </c>
      <c r="H32" s="5">
        <f t="shared" si="0"/>
        <v>1.4147540983606557</v>
      </c>
      <c r="I32" s="5">
        <f t="shared" si="1"/>
        <v>1.4213114754098362</v>
      </c>
      <c r="J32" s="28" t="s">
        <v>8</v>
      </c>
      <c r="K32" s="28" t="s">
        <v>8</v>
      </c>
      <c r="L32" s="11" t="s">
        <v>99</v>
      </c>
      <c r="M32" s="18" t="s">
        <v>100</v>
      </c>
    </row>
    <row r="33" spans="1:13" ht="124.2" x14ac:dyDescent="0.25">
      <c r="A33" s="11" t="s">
        <v>67</v>
      </c>
      <c r="B33" s="11" t="s">
        <v>101</v>
      </c>
      <c r="C33" s="11" t="s">
        <v>102</v>
      </c>
      <c r="D33" s="46">
        <f>100%-52.9%</f>
        <v>0.47099999999999997</v>
      </c>
      <c r="E33" s="46">
        <f>100%-34.3%</f>
        <v>0.65700000000000003</v>
      </c>
      <c r="F33" s="46">
        <f>100%-37.3%</f>
        <v>0.627</v>
      </c>
      <c r="G33" s="46">
        <f>100%-70.8%</f>
        <v>0.29200000000000004</v>
      </c>
      <c r="H33" s="5">
        <f t="shared" si="0"/>
        <v>1.3949044585987262</v>
      </c>
      <c r="I33" s="5">
        <f t="shared" si="1"/>
        <v>1.3312101910828027</v>
      </c>
      <c r="J33" s="28" t="s">
        <v>8</v>
      </c>
      <c r="K33" s="28" t="s">
        <v>8</v>
      </c>
      <c r="L33" s="11" t="s">
        <v>103</v>
      </c>
      <c r="M33" s="18" t="s">
        <v>71</v>
      </c>
    </row>
    <row r="34" spans="1:13" ht="55.2" x14ac:dyDescent="0.25">
      <c r="A34" s="11" t="s">
        <v>67</v>
      </c>
      <c r="B34" s="13" t="s">
        <v>104</v>
      </c>
      <c r="C34" s="11" t="s">
        <v>105</v>
      </c>
      <c r="D34" s="46">
        <f>1-0.631</f>
        <v>0.36899999999999999</v>
      </c>
      <c r="E34" s="46">
        <f>1-0.624</f>
        <v>0.376</v>
      </c>
      <c r="F34" s="46">
        <f>1-0.691</f>
        <v>0.30900000000000005</v>
      </c>
      <c r="G34" s="46">
        <f>1-0.668</f>
        <v>0.33199999999999996</v>
      </c>
      <c r="H34" s="5">
        <f t="shared" si="0"/>
        <v>1.018970189701897</v>
      </c>
      <c r="I34" s="5">
        <f t="shared" si="1"/>
        <v>0.83739837398373995</v>
      </c>
      <c r="J34" s="28">
        <v>7790.7620000000461</v>
      </c>
      <c r="K34" s="28" t="s">
        <v>8</v>
      </c>
      <c r="L34" s="4" t="s">
        <v>106</v>
      </c>
      <c r="M34" s="18" t="s">
        <v>86</v>
      </c>
    </row>
    <row r="35" spans="1:13" ht="41.4" x14ac:dyDescent="0.25">
      <c r="A35" s="11" t="s">
        <v>107</v>
      </c>
      <c r="B35" s="18" t="s">
        <v>108</v>
      </c>
      <c r="C35" s="11" t="s">
        <v>109</v>
      </c>
      <c r="D35" s="21">
        <v>3.2965913154018603E-2</v>
      </c>
      <c r="E35" s="21">
        <v>0.114920947083818</v>
      </c>
      <c r="F35" s="21">
        <v>0.105321841481615</v>
      </c>
      <c r="G35" s="21" t="s">
        <v>8</v>
      </c>
      <c r="H35" s="5">
        <f t="shared" si="0"/>
        <v>3.4860538079713086</v>
      </c>
      <c r="I35" s="5">
        <f t="shared" si="1"/>
        <v>3.194871047240385</v>
      </c>
      <c r="J35" s="28">
        <v>30384.910784507058</v>
      </c>
      <c r="K35" s="28">
        <v>12511.642414551316</v>
      </c>
      <c r="L35" s="13" t="s">
        <v>96</v>
      </c>
      <c r="M35" s="18" t="s">
        <v>93</v>
      </c>
    </row>
    <row r="36" spans="1:13" ht="41.4" x14ac:dyDescent="0.25">
      <c r="A36" s="11" t="s">
        <v>107</v>
      </c>
      <c r="B36" s="11" t="s">
        <v>110</v>
      </c>
      <c r="C36" s="11" t="s">
        <v>111</v>
      </c>
      <c r="D36" s="49">
        <v>0.06</v>
      </c>
      <c r="E36" s="49">
        <v>0.21</v>
      </c>
      <c r="F36" s="49">
        <v>0.1</v>
      </c>
      <c r="G36" s="49">
        <v>7.0000000000000007E-2</v>
      </c>
      <c r="H36" s="5">
        <f t="shared" si="0"/>
        <v>3.5</v>
      </c>
      <c r="I36" s="5">
        <f t="shared" si="1"/>
        <v>1.6666666666666667</v>
      </c>
      <c r="J36" s="28">
        <v>88500</v>
      </c>
      <c r="K36" s="28">
        <v>5777.7777777777792</v>
      </c>
      <c r="L36" s="11" t="s">
        <v>112</v>
      </c>
      <c r="M36" s="18" t="s">
        <v>113</v>
      </c>
    </row>
    <row r="37" spans="1:13" ht="55.2" x14ac:dyDescent="0.25">
      <c r="A37" s="11" t="s">
        <v>107</v>
      </c>
      <c r="B37" s="18" t="s">
        <v>114</v>
      </c>
      <c r="C37" s="11" t="s">
        <v>115</v>
      </c>
      <c r="D37" s="21">
        <v>0.20499999999999999</v>
      </c>
      <c r="E37" s="21">
        <v>0.129</v>
      </c>
      <c r="F37" s="21">
        <v>0.16700000000000001</v>
      </c>
      <c r="G37" s="21">
        <v>0.128</v>
      </c>
      <c r="H37" s="5">
        <f t="shared" si="0"/>
        <v>0.62926829268292683</v>
      </c>
      <c r="I37" s="5">
        <f t="shared" si="1"/>
        <v>0.81463414634146347</v>
      </c>
      <c r="J37" s="28" t="s">
        <v>8</v>
      </c>
      <c r="K37" s="28" t="s">
        <v>8</v>
      </c>
      <c r="L37" s="13" t="s">
        <v>116</v>
      </c>
      <c r="M37" s="18" t="s">
        <v>93</v>
      </c>
    </row>
    <row r="38" spans="1:13" ht="82.8" x14ac:dyDescent="0.25">
      <c r="A38" s="11" t="s">
        <v>107</v>
      </c>
      <c r="B38" s="11" t="s">
        <v>117</v>
      </c>
      <c r="C38" s="11" t="s">
        <v>118</v>
      </c>
      <c r="D38" s="21">
        <v>9.4E-2</v>
      </c>
      <c r="E38" s="21">
        <v>0.20699999999999999</v>
      </c>
      <c r="F38" s="21">
        <v>0.15</v>
      </c>
      <c r="G38" s="21">
        <v>0.11700000000000001</v>
      </c>
      <c r="H38" s="5">
        <f t="shared" si="0"/>
        <v>2.2021276595744679</v>
      </c>
      <c r="I38" s="5">
        <f t="shared" si="1"/>
        <v>1.5957446808510638</v>
      </c>
      <c r="J38" s="28" t="s">
        <v>8</v>
      </c>
      <c r="K38" s="28" t="s">
        <v>8</v>
      </c>
      <c r="L38" s="50" t="s">
        <v>119</v>
      </c>
      <c r="M38" s="18" t="s">
        <v>120</v>
      </c>
    </row>
    <row r="39" spans="1:13" ht="41.4" x14ac:dyDescent="0.25">
      <c r="A39" s="11" t="s">
        <v>107</v>
      </c>
      <c r="B39" s="11" t="s">
        <v>121</v>
      </c>
      <c r="C39" s="11" t="s">
        <v>122</v>
      </c>
      <c r="D39" s="51">
        <f>1-0.901</f>
        <v>9.8999999999999977E-2</v>
      </c>
      <c r="E39" s="51">
        <f>1-0.853</f>
        <v>0.14700000000000002</v>
      </c>
      <c r="F39" s="51">
        <f>1-0.886</f>
        <v>0.11399999999999999</v>
      </c>
      <c r="G39" s="51">
        <f>1-0.948</f>
        <v>5.2000000000000046E-2</v>
      </c>
      <c r="H39" s="5">
        <f t="shared" si="0"/>
        <v>1.4848484848484853</v>
      </c>
      <c r="I39" s="5">
        <f t="shared" si="1"/>
        <v>1.1515151515151516</v>
      </c>
      <c r="J39" s="28">
        <v>69721.440000000061</v>
      </c>
      <c r="K39" s="28">
        <v>7205.205000000009</v>
      </c>
      <c r="L39" s="11" t="s">
        <v>123</v>
      </c>
      <c r="M39" s="18" t="s">
        <v>86</v>
      </c>
    </row>
    <row r="40" spans="1:13" ht="96.6" x14ac:dyDescent="0.25">
      <c r="A40" s="11" t="s">
        <v>107</v>
      </c>
      <c r="B40" s="13" t="s">
        <v>124</v>
      </c>
      <c r="C40" s="11" t="s">
        <v>125</v>
      </c>
      <c r="D40" s="52">
        <v>26</v>
      </c>
      <c r="E40" s="52">
        <v>37</v>
      </c>
      <c r="F40" s="52">
        <v>30</v>
      </c>
      <c r="G40" s="52">
        <v>34</v>
      </c>
      <c r="H40" s="5">
        <f t="shared" si="0"/>
        <v>1.4230769230769231</v>
      </c>
      <c r="I40" s="5">
        <f t="shared" si="1"/>
        <v>1.1538461538461537</v>
      </c>
      <c r="J40" s="28" t="s">
        <v>8</v>
      </c>
      <c r="K40" s="28" t="s">
        <v>8</v>
      </c>
      <c r="L40" s="11" t="s">
        <v>126</v>
      </c>
      <c r="M40" s="18" t="s">
        <v>113</v>
      </c>
    </row>
    <row r="41" spans="1:13" s="8" customFormat="1" ht="55.2" x14ac:dyDescent="0.25">
      <c r="A41" s="4" t="s">
        <v>127</v>
      </c>
      <c r="B41" s="18" t="s">
        <v>128</v>
      </c>
      <c r="C41" s="4" t="s">
        <v>129</v>
      </c>
      <c r="D41" s="6">
        <v>1.2095387448454601E-2</v>
      </c>
      <c r="E41" s="6">
        <v>0.114049180338939</v>
      </c>
      <c r="F41" s="6">
        <v>0.102516899014302</v>
      </c>
      <c r="G41" s="6">
        <v>0.113605329176487</v>
      </c>
      <c r="H41" s="5">
        <f>E41/D41</f>
        <v>9.4291465093588869</v>
      </c>
      <c r="I41" s="5">
        <f t="shared" si="1"/>
        <v>8.4757019525984951</v>
      </c>
      <c r="J41" s="28">
        <v>37799.470667939982</v>
      </c>
      <c r="K41" s="28">
        <v>15635.506936943202</v>
      </c>
      <c r="L41" s="13" t="s">
        <v>96</v>
      </c>
      <c r="M41" s="18" t="s">
        <v>93</v>
      </c>
    </row>
    <row r="42" spans="1:13" s="8" customFormat="1" ht="82.8" x14ac:dyDescent="0.25">
      <c r="A42" s="4" t="s">
        <v>127</v>
      </c>
      <c r="B42" s="18" t="s">
        <v>130</v>
      </c>
      <c r="C42" s="4" t="s">
        <v>131</v>
      </c>
      <c r="D42" s="6">
        <v>4.3999999999999997E-2</v>
      </c>
      <c r="E42" s="6">
        <v>0.26900000000000002</v>
      </c>
      <c r="F42" s="6">
        <v>0.189</v>
      </c>
      <c r="G42" s="6">
        <v>0.22700000000000001</v>
      </c>
      <c r="H42" s="5">
        <f t="shared" si="0"/>
        <v>6.1136363636363642</v>
      </c>
      <c r="I42" s="5">
        <f t="shared" si="1"/>
        <v>4.2954545454545459</v>
      </c>
      <c r="J42" s="28">
        <v>238121.77500000005</v>
      </c>
      <c r="K42" s="28">
        <v>44615.92</v>
      </c>
      <c r="L42" s="18" t="s">
        <v>132</v>
      </c>
      <c r="M42" s="18" t="s">
        <v>93</v>
      </c>
    </row>
    <row r="43" spans="1:13" s="8" customFormat="1" ht="55.2" x14ac:dyDescent="0.25">
      <c r="A43" s="4" t="s">
        <v>127</v>
      </c>
      <c r="B43" s="18" t="s">
        <v>133</v>
      </c>
      <c r="C43" s="4" t="s">
        <v>134</v>
      </c>
      <c r="D43" s="6">
        <v>1.2999999999999999E-2</v>
      </c>
      <c r="E43" s="6">
        <v>0.13400000000000001</v>
      </c>
      <c r="F43" s="6" t="s">
        <v>8</v>
      </c>
      <c r="G43" s="6" t="s">
        <v>8</v>
      </c>
      <c r="H43" s="5">
        <f t="shared" si="0"/>
        <v>10.307692307692308</v>
      </c>
      <c r="I43" s="32" t="s">
        <v>8</v>
      </c>
      <c r="J43" s="28">
        <v>128056.59900000002</v>
      </c>
      <c r="K43" s="28" t="s">
        <v>8</v>
      </c>
      <c r="L43" s="18" t="s">
        <v>132</v>
      </c>
      <c r="M43" s="18" t="s">
        <v>135</v>
      </c>
    </row>
    <row r="44" spans="1:13" s="8" customFormat="1" ht="55.2" x14ac:dyDescent="0.25">
      <c r="A44" s="4" t="s">
        <v>127</v>
      </c>
      <c r="B44" s="18" t="s">
        <v>136</v>
      </c>
      <c r="C44" s="4" t="s">
        <v>137</v>
      </c>
      <c r="D44" s="6">
        <v>2.1999999999999999E-2</v>
      </c>
      <c r="E44" s="6">
        <v>0.21199999999999999</v>
      </c>
      <c r="F44" s="6" t="s">
        <v>8</v>
      </c>
      <c r="G44" s="6" t="s">
        <v>8</v>
      </c>
      <c r="H44" s="5">
        <f t="shared" si="0"/>
        <v>9.6363636363636367</v>
      </c>
      <c r="I44" s="32" t="s">
        <v>8</v>
      </c>
      <c r="J44" s="28">
        <v>201080.61</v>
      </c>
      <c r="K44" s="28" t="s">
        <v>8</v>
      </c>
      <c r="L44" s="18" t="s">
        <v>132</v>
      </c>
      <c r="M44" s="18" t="s">
        <v>135</v>
      </c>
    </row>
  </sheetData>
  <autoFilter ref="A13:M44" xr:uid="{B681326F-8C9E-4B96-B47F-5D532CA0B12E}"/>
  <mergeCells count="13">
    <mergeCell ref="B7:C7"/>
    <mergeCell ref="B8:C8"/>
    <mergeCell ref="A10:C10"/>
    <mergeCell ref="A1:C1"/>
    <mergeCell ref="A2:C2"/>
    <mergeCell ref="A4:C4"/>
    <mergeCell ref="B5:C5"/>
    <mergeCell ref="B6:C6"/>
    <mergeCell ref="L12:M12"/>
    <mergeCell ref="H12:I12"/>
    <mergeCell ref="J12:K12"/>
    <mergeCell ref="D12:G12"/>
    <mergeCell ref="A12:C12"/>
  </mergeCells>
  <conditionalFormatting sqref="H14 H15:I24 H25:H26 H27:I42 H43:H44">
    <cfRule type="cellIs" dxfId="14" priority="10" operator="greaterThanOrEqual">
      <formula>2</formula>
    </cfRule>
    <cfRule type="cellIs" dxfId="13" priority="11" operator="greaterThanOrEqual">
      <formula>1.1</formula>
    </cfRule>
    <cfRule type="cellIs" dxfId="12" priority="12" operator="lessThan">
      <formula>1.1</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E02A-DD27-4FA2-8156-89DB8D8B9EAF}">
  <dimension ref="A1:I33"/>
  <sheetViews>
    <sheetView topLeftCell="A12" zoomScaleNormal="100" workbookViewId="0">
      <selection activeCell="C17" sqref="C17"/>
    </sheetView>
  </sheetViews>
  <sheetFormatPr defaultColWidth="9" defaultRowHeight="13.8" x14ac:dyDescent="0.25"/>
  <cols>
    <col min="1" max="1" width="18" style="9" customWidth="1"/>
    <col min="2" max="2" width="43.69921875" style="9" customWidth="1"/>
    <col min="3" max="3" width="65" style="9" customWidth="1"/>
    <col min="4" max="4" width="11.69921875" style="9" customWidth="1"/>
    <col min="5" max="5" width="12.19921875" style="9" customWidth="1"/>
    <col min="6" max="6" width="17.69921875" style="9" customWidth="1"/>
    <col min="7" max="7" width="14.19921875" style="9" customWidth="1"/>
    <col min="8" max="9" width="46.69921875" style="9" customWidth="1"/>
    <col min="10" max="16384" width="9" style="9"/>
  </cols>
  <sheetData>
    <row r="1" spans="1:9" customFormat="1" ht="13.95" customHeight="1" x14ac:dyDescent="0.25">
      <c r="A1" s="60" t="s">
        <v>0</v>
      </c>
      <c r="B1" s="60"/>
      <c r="C1" s="60"/>
    </row>
    <row r="2" spans="1:9" customFormat="1" ht="13.95" customHeight="1" x14ac:dyDescent="0.25">
      <c r="A2" s="60" t="s">
        <v>256</v>
      </c>
      <c r="B2" s="60"/>
      <c r="C2" s="60"/>
    </row>
    <row r="3" spans="1:9" customFormat="1" x14ac:dyDescent="0.25"/>
    <row r="4" spans="1:9" customFormat="1" ht="17.399999999999999" x14ac:dyDescent="0.25">
      <c r="A4" s="61" t="s">
        <v>1</v>
      </c>
      <c r="B4" s="62"/>
      <c r="C4" s="63"/>
    </row>
    <row r="5" spans="1:9" customFormat="1" x14ac:dyDescent="0.25">
      <c r="A5" s="40" t="s">
        <v>2</v>
      </c>
      <c r="B5" s="64" t="s">
        <v>3</v>
      </c>
      <c r="C5" s="65"/>
      <c r="D5" s="2"/>
      <c r="E5" s="2"/>
    </row>
    <row r="6" spans="1:9" customFormat="1" x14ac:dyDescent="0.25">
      <c r="A6" s="41" t="s">
        <v>4</v>
      </c>
      <c r="B6" s="64" t="s">
        <v>5</v>
      </c>
      <c r="C6" s="65"/>
      <c r="D6" s="2"/>
      <c r="E6" s="2"/>
    </row>
    <row r="7" spans="1:9" customFormat="1" x14ac:dyDescent="0.25">
      <c r="A7" s="42" t="s">
        <v>6</v>
      </c>
      <c r="B7" s="64" t="s">
        <v>7</v>
      </c>
      <c r="C7" s="65"/>
      <c r="D7" s="2"/>
      <c r="E7" s="2"/>
    </row>
    <row r="8" spans="1:9" customFormat="1" ht="16.2" customHeight="1" x14ac:dyDescent="0.25">
      <c r="A8" s="43" t="s">
        <v>8</v>
      </c>
      <c r="B8" s="64" t="s">
        <v>9</v>
      </c>
      <c r="C8" s="65"/>
      <c r="D8" s="2"/>
      <c r="E8" s="2"/>
    </row>
    <row r="9" spans="1:9" customFormat="1" ht="90" customHeight="1" x14ac:dyDescent="0.25">
      <c r="A9" s="66" t="s">
        <v>11</v>
      </c>
      <c r="B9" s="67"/>
      <c r="C9" s="68"/>
      <c r="D9" s="2"/>
      <c r="E9" s="2"/>
    </row>
    <row r="10" spans="1:9" customFormat="1" x14ac:dyDescent="0.25">
      <c r="A10" s="56"/>
      <c r="B10" s="57"/>
      <c r="C10" s="58"/>
      <c r="D10" s="2"/>
      <c r="E10" s="2"/>
    </row>
    <row r="11" spans="1:9" ht="34.799999999999997" x14ac:dyDescent="0.25">
      <c r="A11" s="69" t="s">
        <v>12</v>
      </c>
      <c r="B11" s="69"/>
      <c r="C11" s="69"/>
      <c r="D11" s="69" t="s">
        <v>13</v>
      </c>
      <c r="E11" s="69"/>
      <c r="F11" s="20" t="s">
        <v>14</v>
      </c>
      <c r="G11" s="20" t="s">
        <v>138</v>
      </c>
      <c r="H11" s="69" t="s">
        <v>16</v>
      </c>
      <c r="I11" s="69"/>
    </row>
    <row r="12" spans="1:9" ht="82.8" x14ac:dyDescent="0.25">
      <c r="A12" s="3" t="s">
        <v>17</v>
      </c>
      <c r="B12" s="3" t="s">
        <v>139</v>
      </c>
      <c r="C12" s="3" t="s">
        <v>19</v>
      </c>
      <c r="D12" s="3" t="s">
        <v>140</v>
      </c>
      <c r="E12" s="3" t="s">
        <v>141</v>
      </c>
      <c r="F12" s="3" t="s">
        <v>142</v>
      </c>
      <c r="G12" s="3" t="s">
        <v>143</v>
      </c>
      <c r="H12" s="3" t="s">
        <v>28</v>
      </c>
      <c r="I12" s="3" t="s">
        <v>144</v>
      </c>
    </row>
    <row r="13" spans="1:9" ht="41.4" x14ac:dyDescent="0.25">
      <c r="A13" s="4" t="s">
        <v>30</v>
      </c>
      <c r="B13" s="13" t="s">
        <v>145</v>
      </c>
      <c r="C13" s="4" t="s">
        <v>53</v>
      </c>
      <c r="D13" s="6">
        <v>0.498</v>
      </c>
      <c r="E13" s="6">
        <v>0.151</v>
      </c>
      <c r="F13" s="5">
        <f>D13/E13</f>
        <v>3.2980132450331126</v>
      </c>
      <c r="G13" s="28">
        <v>549756.95799999998</v>
      </c>
      <c r="H13" s="4" t="s">
        <v>146</v>
      </c>
      <c r="I13" s="4" t="s">
        <v>147</v>
      </c>
    </row>
    <row r="14" spans="1:9" ht="41.4" x14ac:dyDescent="0.25">
      <c r="A14" s="4" t="s">
        <v>30</v>
      </c>
      <c r="B14" s="13" t="s">
        <v>148</v>
      </c>
      <c r="C14" s="4" t="s">
        <v>41</v>
      </c>
      <c r="D14" s="6">
        <v>0.17</v>
      </c>
      <c r="E14" s="6">
        <v>8.5999999999999993E-2</v>
      </c>
      <c r="F14" s="5">
        <f t="shared" ref="F14:F25" si="0">D14/E14</f>
        <v>1.976744186046512</v>
      </c>
      <c r="G14" s="28">
        <v>133082.37600000002</v>
      </c>
      <c r="H14" s="4" t="s">
        <v>146</v>
      </c>
      <c r="I14" s="4" t="s">
        <v>147</v>
      </c>
    </row>
    <row r="15" spans="1:9" ht="41.4" x14ac:dyDescent="0.25">
      <c r="A15" s="4" t="s">
        <v>55</v>
      </c>
      <c r="B15" s="13" t="s">
        <v>149</v>
      </c>
      <c r="C15" s="4" t="s">
        <v>57</v>
      </c>
      <c r="D15" s="6">
        <v>0.19500000000000001</v>
      </c>
      <c r="E15" s="6">
        <v>6.8000000000000005E-2</v>
      </c>
      <c r="F15" s="5">
        <f t="shared" si="0"/>
        <v>2.8676470588235294</v>
      </c>
      <c r="G15" s="28">
        <v>201207.87800000003</v>
      </c>
      <c r="H15" s="4" t="s">
        <v>146</v>
      </c>
      <c r="I15" s="4" t="s">
        <v>147</v>
      </c>
    </row>
    <row r="16" spans="1:9" ht="27.6" x14ac:dyDescent="0.25">
      <c r="A16" s="4" t="s">
        <v>55</v>
      </c>
      <c r="B16" s="13" t="s">
        <v>58</v>
      </c>
      <c r="C16" s="4" t="s">
        <v>59</v>
      </c>
      <c r="D16" s="6">
        <v>7.2999999999999995E-2</v>
      </c>
      <c r="E16" s="6">
        <v>8.8999999999999996E-2</v>
      </c>
      <c r="F16" s="5">
        <f t="shared" si="0"/>
        <v>0.8202247191011236</v>
      </c>
      <c r="G16" s="28" t="s">
        <v>8</v>
      </c>
      <c r="H16" s="19" t="s">
        <v>150</v>
      </c>
      <c r="I16" s="4" t="s">
        <v>151</v>
      </c>
    </row>
    <row r="17" spans="1:9" ht="55.2" x14ac:dyDescent="0.25">
      <c r="A17" s="4" t="s">
        <v>67</v>
      </c>
      <c r="B17" s="13" t="s">
        <v>152</v>
      </c>
      <c r="C17" s="4" t="s">
        <v>153</v>
      </c>
      <c r="D17" s="6">
        <v>0.56399999999999995</v>
      </c>
      <c r="E17" s="6">
        <v>0.17100000000000001</v>
      </c>
      <c r="F17" s="5">
        <f>D17/E17</f>
        <v>3.2982456140350873</v>
      </c>
      <c r="G17" s="28">
        <v>632010.80999999982</v>
      </c>
      <c r="H17" s="4" t="s">
        <v>154</v>
      </c>
      <c r="I17" s="4" t="s">
        <v>151</v>
      </c>
    </row>
    <row r="18" spans="1:9" ht="55.2" x14ac:dyDescent="0.25">
      <c r="A18" s="4" t="s">
        <v>67</v>
      </c>
      <c r="B18" s="18" t="s">
        <v>155</v>
      </c>
      <c r="C18" s="4" t="s">
        <v>91</v>
      </c>
      <c r="D18" s="6">
        <v>0.28571559088209703</v>
      </c>
      <c r="E18" s="6">
        <v>9.3010011271492402E-2</v>
      </c>
      <c r="F18" s="5">
        <f t="shared" si="0"/>
        <v>3.0718799726634258</v>
      </c>
      <c r="G18" s="28">
        <v>21541.78592235105</v>
      </c>
      <c r="H18" s="13" t="s">
        <v>92</v>
      </c>
      <c r="I18" s="13" t="s">
        <v>156</v>
      </c>
    </row>
    <row r="19" spans="1:9" ht="55.2" x14ac:dyDescent="0.25">
      <c r="A19" s="4" t="s">
        <v>67</v>
      </c>
      <c r="B19" s="4" t="s">
        <v>157</v>
      </c>
      <c r="C19" s="4" t="s">
        <v>84</v>
      </c>
      <c r="D19" s="6">
        <v>5.0999999999999997E-2</v>
      </c>
      <c r="E19" s="6">
        <v>3.9E-2</v>
      </c>
      <c r="F19" s="5">
        <f>D19/E19</f>
        <v>1.3076923076923077</v>
      </c>
      <c r="G19" s="28">
        <v>19298.04</v>
      </c>
      <c r="H19" s="4" t="s">
        <v>154</v>
      </c>
      <c r="I19" s="4" t="s">
        <v>151</v>
      </c>
    </row>
    <row r="20" spans="1:9" ht="124.2" x14ac:dyDescent="0.25">
      <c r="A20" s="4" t="s">
        <v>67</v>
      </c>
      <c r="B20" s="4" t="s">
        <v>158</v>
      </c>
      <c r="C20" s="4" t="s">
        <v>159</v>
      </c>
      <c r="D20" s="6">
        <f>100%-74%</f>
        <v>0.26</v>
      </c>
      <c r="E20" s="6">
        <f>100%-89.5%</f>
        <v>0.10499999999999998</v>
      </c>
      <c r="F20" s="5">
        <f t="shared" si="0"/>
        <v>2.4761904761904767</v>
      </c>
      <c r="G20" s="28" t="s">
        <v>8</v>
      </c>
      <c r="H20" s="4" t="s">
        <v>89</v>
      </c>
      <c r="I20" s="4" t="s">
        <v>160</v>
      </c>
    </row>
    <row r="21" spans="1:9" ht="151.80000000000001" x14ac:dyDescent="0.25">
      <c r="A21" s="4" t="s">
        <v>67</v>
      </c>
      <c r="B21" s="18" t="s">
        <v>161</v>
      </c>
      <c r="C21" s="18" t="s">
        <v>95</v>
      </c>
      <c r="D21" s="6">
        <v>0.43359995209757601</v>
      </c>
      <c r="E21" s="6">
        <v>0.206128240658564</v>
      </c>
      <c r="F21" s="5">
        <f t="shared" si="0"/>
        <v>2.1035446220869942</v>
      </c>
      <c r="G21" s="28">
        <v>31682.942384359907</v>
      </c>
      <c r="H21" s="13" t="s">
        <v>96</v>
      </c>
      <c r="I21" s="13" t="s">
        <v>156</v>
      </c>
    </row>
    <row r="22" spans="1:9" ht="41.4" x14ac:dyDescent="0.25">
      <c r="A22" s="4" t="s">
        <v>67</v>
      </c>
      <c r="B22" s="13" t="s">
        <v>162</v>
      </c>
      <c r="C22" s="4" t="s">
        <v>163</v>
      </c>
      <c r="D22" s="6">
        <v>0.29199999999999998</v>
      </c>
      <c r="E22" s="6">
        <v>0.17960000000000001</v>
      </c>
      <c r="F22" s="5">
        <f>D22/E22</f>
        <v>1.6258351893095766</v>
      </c>
      <c r="G22" s="28">
        <v>15655.409199999998</v>
      </c>
      <c r="H22" s="4" t="s">
        <v>164</v>
      </c>
      <c r="I22" s="4" t="s">
        <v>151</v>
      </c>
    </row>
    <row r="23" spans="1:9" ht="69" x14ac:dyDescent="0.25">
      <c r="A23" s="4" t="s">
        <v>67</v>
      </c>
      <c r="B23" s="4" t="s">
        <v>165</v>
      </c>
      <c r="C23" s="4" t="s">
        <v>98</v>
      </c>
      <c r="D23" s="6">
        <f>73.9%+15%</f>
        <v>0.88900000000000012</v>
      </c>
      <c r="E23" s="6">
        <f>28.5%+33%</f>
        <v>0.61499999999999999</v>
      </c>
      <c r="F23" s="5">
        <f t="shared" si="0"/>
        <v>1.4455284552845531</v>
      </c>
      <c r="G23" s="28" t="s">
        <v>8</v>
      </c>
      <c r="H23" s="4" t="s">
        <v>99</v>
      </c>
      <c r="I23" s="4" t="s">
        <v>166</v>
      </c>
    </row>
    <row r="24" spans="1:9" ht="41.4" x14ac:dyDescent="0.25">
      <c r="A24" s="4" t="s">
        <v>67</v>
      </c>
      <c r="B24" s="4" t="s">
        <v>167</v>
      </c>
      <c r="C24" s="4" t="s">
        <v>69</v>
      </c>
      <c r="D24" s="6">
        <v>0.39900000000000002</v>
      </c>
      <c r="E24" s="6">
        <v>0.28499999999999998</v>
      </c>
      <c r="F24" s="5">
        <f>D24/E24</f>
        <v>1.4000000000000001</v>
      </c>
      <c r="G24" s="28">
        <v>30894.342000000004</v>
      </c>
      <c r="H24" s="4" t="s">
        <v>168</v>
      </c>
      <c r="I24" s="4" t="s">
        <v>169</v>
      </c>
    </row>
    <row r="25" spans="1:9" ht="55.2" x14ac:dyDescent="0.25">
      <c r="A25" s="4" t="s">
        <v>107</v>
      </c>
      <c r="B25" s="18" t="s">
        <v>170</v>
      </c>
      <c r="C25" s="4" t="s">
        <v>109</v>
      </c>
      <c r="D25" s="6">
        <v>9.6000000000000002E-2</v>
      </c>
      <c r="E25" s="6">
        <v>4.4999999999999998E-2</v>
      </c>
      <c r="F25" s="5">
        <f t="shared" si="0"/>
        <v>2.1333333333333333</v>
      </c>
      <c r="G25" s="28">
        <v>7103.433</v>
      </c>
      <c r="H25" s="13" t="s">
        <v>96</v>
      </c>
      <c r="I25" s="13" t="s">
        <v>156</v>
      </c>
    </row>
    <row r="26" spans="1:9" x14ac:dyDescent="0.25">
      <c r="B26" s="35"/>
      <c r="C26" s="14"/>
      <c r="D26" s="36"/>
      <c r="E26" s="36"/>
      <c r="G26" s="33"/>
      <c r="H26" s="34"/>
      <c r="I26" s="34"/>
    </row>
    <row r="27" spans="1:9" ht="20.399999999999999" customHeight="1" x14ac:dyDescent="0.25"/>
    <row r="28" spans="1:9" s="14" customFormat="1" x14ac:dyDescent="0.25">
      <c r="A28" s="9"/>
      <c r="B28" s="9"/>
      <c r="C28" s="9"/>
      <c r="D28" s="9"/>
    </row>
    <row r="29" spans="1:9" s="14" customFormat="1" x14ac:dyDescent="0.25">
      <c r="A29" s="16"/>
      <c r="B29" s="16"/>
      <c r="C29" s="16"/>
      <c r="D29" s="16"/>
    </row>
    <row r="30" spans="1:9" s="14" customFormat="1" x14ac:dyDescent="0.25">
      <c r="A30" s="16"/>
      <c r="B30" s="16"/>
      <c r="C30" s="16"/>
      <c r="D30" s="16"/>
    </row>
    <row r="31" spans="1:9" s="14" customFormat="1" x14ac:dyDescent="0.25">
      <c r="A31" s="16"/>
      <c r="B31" s="16"/>
      <c r="C31" s="16"/>
      <c r="D31" s="16"/>
    </row>
    <row r="32" spans="1:9" s="14" customFormat="1" ht="89.4" customHeight="1" x14ac:dyDescent="0.25">
      <c r="A32" s="16"/>
      <c r="B32" s="16"/>
      <c r="C32" s="16"/>
      <c r="D32" s="16"/>
    </row>
    <row r="33" spans="1:9" s="14" customFormat="1" x14ac:dyDescent="0.25">
      <c r="A33" s="17"/>
      <c r="B33" s="70"/>
      <c r="C33" s="70"/>
      <c r="D33" s="70"/>
      <c r="E33" s="70"/>
      <c r="F33" s="16"/>
      <c r="G33" s="16"/>
      <c r="H33" s="16"/>
      <c r="I33" s="16"/>
    </row>
  </sheetData>
  <autoFilter ref="A12:I25" xr:uid="{26B2E02A-DD27-4FA2-8156-89DB8D8B9EAF}"/>
  <mergeCells count="12">
    <mergeCell ref="B7:C7"/>
    <mergeCell ref="B8:C8"/>
    <mergeCell ref="A1:C1"/>
    <mergeCell ref="A2:C2"/>
    <mergeCell ref="A4:C4"/>
    <mergeCell ref="B5:C5"/>
    <mergeCell ref="B6:C6"/>
    <mergeCell ref="H11:I11"/>
    <mergeCell ref="A11:C11"/>
    <mergeCell ref="D11:E11"/>
    <mergeCell ref="B33:E33"/>
    <mergeCell ref="A9:C9"/>
  </mergeCells>
  <conditionalFormatting sqref="F13:F25">
    <cfRule type="cellIs" dxfId="11" priority="5" operator="equal">
      <formula>"N/A"</formula>
    </cfRule>
    <cfRule type="cellIs" dxfId="10" priority="6" operator="greaterThanOrEqual">
      <formula>2</formula>
    </cfRule>
    <cfRule type="cellIs" dxfId="9" priority="7" operator="greaterThanOrEqual">
      <formula>1.1</formula>
    </cfRule>
    <cfRule type="cellIs" dxfId="8" priority="8" operator="lessThan">
      <formula>1.1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D6DA-E790-43BF-8BC2-2A6501FADA93}">
  <dimension ref="A1:N36"/>
  <sheetViews>
    <sheetView zoomScaleNormal="100" workbookViewId="0">
      <selection activeCell="A3" sqref="A3"/>
    </sheetView>
  </sheetViews>
  <sheetFormatPr defaultColWidth="8.69921875" defaultRowHeight="13.8" x14ac:dyDescent="0.25"/>
  <cols>
    <col min="1" max="1" width="18.19921875" style="14" customWidth="1"/>
    <col min="2" max="2" width="43.69921875" style="14" customWidth="1"/>
    <col min="3" max="3" width="54.69921875" style="14" customWidth="1"/>
    <col min="4" max="4" width="23.69921875" style="14" customWidth="1"/>
    <col min="5" max="5" width="17.69921875" style="14" customWidth="1"/>
    <col min="6" max="6" width="22.19921875" style="14" customWidth="1"/>
    <col min="7" max="7" width="15" style="14" customWidth="1"/>
    <col min="8" max="8" width="24" style="14" customWidth="1"/>
    <col min="9" max="9" width="14.19921875" style="14" customWidth="1"/>
    <col min="10" max="11" width="20.09765625" style="14" customWidth="1"/>
    <col min="12" max="12" width="42.19921875" style="14" customWidth="1"/>
    <col min="13" max="14" width="35" style="14" customWidth="1"/>
    <col min="15" max="16384" width="8.69921875" style="14"/>
  </cols>
  <sheetData>
    <row r="1" spans="1:14" customFormat="1" ht="13.95" customHeight="1" x14ac:dyDescent="0.25">
      <c r="A1" s="60" t="s">
        <v>0</v>
      </c>
      <c r="B1" s="60"/>
      <c r="C1" s="60"/>
    </row>
    <row r="2" spans="1:14" customFormat="1" ht="13.95" customHeight="1" x14ac:dyDescent="0.25">
      <c r="A2" s="60" t="s">
        <v>256</v>
      </c>
      <c r="B2" s="60"/>
      <c r="C2" s="60"/>
    </row>
    <row r="3" spans="1:14" customFormat="1" x14ac:dyDescent="0.25"/>
    <row r="4" spans="1:14" customFormat="1" ht="17.399999999999999" x14ac:dyDescent="0.25">
      <c r="A4" s="61" t="s">
        <v>1</v>
      </c>
      <c r="B4" s="62"/>
      <c r="C4" s="63"/>
    </row>
    <row r="5" spans="1:14" customFormat="1" x14ac:dyDescent="0.25">
      <c r="A5" s="40" t="s">
        <v>2</v>
      </c>
      <c r="B5" s="64" t="s">
        <v>3</v>
      </c>
      <c r="C5" s="65"/>
      <c r="D5" s="2"/>
      <c r="E5" s="2"/>
    </row>
    <row r="6" spans="1:14" customFormat="1" x14ac:dyDescent="0.25">
      <c r="A6" s="41" t="s">
        <v>4</v>
      </c>
      <c r="B6" s="64" t="s">
        <v>5</v>
      </c>
      <c r="C6" s="65"/>
      <c r="D6" s="2"/>
      <c r="E6" s="2"/>
    </row>
    <row r="7" spans="1:14" customFormat="1" x14ac:dyDescent="0.25">
      <c r="A7" s="42" t="s">
        <v>6</v>
      </c>
      <c r="B7" s="64" t="s">
        <v>7</v>
      </c>
      <c r="C7" s="65"/>
      <c r="D7" s="2"/>
      <c r="E7" s="2"/>
    </row>
    <row r="8" spans="1:14" customFormat="1" x14ac:dyDescent="0.25">
      <c r="A8" s="43" t="s">
        <v>8</v>
      </c>
      <c r="B8" s="64" t="s">
        <v>9</v>
      </c>
      <c r="C8" s="65"/>
      <c r="D8" s="2"/>
      <c r="E8" s="2"/>
    </row>
    <row r="9" spans="1:14" customFormat="1" ht="99" customHeight="1" x14ac:dyDescent="0.25">
      <c r="A9" s="66" t="s">
        <v>11</v>
      </c>
      <c r="B9" s="67"/>
      <c r="C9" s="68"/>
      <c r="D9" s="2"/>
      <c r="E9" s="2"/>
    </row>
    <row r="10" spans="1:14" customFormat="1" x14ac:dyDescent="0.25">
      <c r="A10" s="56"/>
      <c r="B10" s="57"/>
      <c r="C10" s="58"/>
      <c r="D10" s="2"/>
      <c r="E10" s="2"/>
    </row>
    <row r="11" spans="1:14" ht="17.399999999999999" x14ac:dyDescent="0.25">
      <c r="A11" s="69" t="s">
        <v>12</v>
      </c>
      <c r="B11" s="69"/>
      <c r="C11" s="69"/>
      <c r="D11" s="69" t="s">
        <v>13</v>
      </c>
      <c r="E11" s="69"/>
      <c r="F11" s="69"/>
      <c r="G11" s="69"/>
      <c r="H11" s="69" t="s">
        <v>14</v>
      </c>
      <c r="I11" s="69"/>
      <c r="J11" s="69" t="s">
        <v>15</v>
      </c>
      <c r="K11" s="69"/>
      <c r="L11" s="69" t="s">
        <v>16</v>
      </c>
      <c r="M11" s="69"/>
      <c r="N11" s="69"/>
    </row>
    <row r="12" spans="1:14" ht="103.95" customHeight="1" x14ac:dyDescent="0.25">
      <c r="A12" s="3" t="s">
        <v>17</v>
      </c>
      <c r="B12" s="3" t="s">
        <v>139</v>
      </c>
      <c r="C12" s="3" t="s">
        <v>19</v>
      </c>
      <c r="D12" s="3" t="s">
        <v>171</v>
      </c>
      <c r="E12" s="3" t="s">
        <v>172</v>
      </c>
      <c r="F12" s="3" t="s">
        <v>173</v>
      </c>
      <c r="G12" s="3" t="s">
        <v>174</v>
      </c>
      <c r="H12" s="3" t="s">
        <v>175</v>
      </c>
      <c r="I12" s="3" t="s">
        <v>176</v>
      </c>
      <c r="J12" s="3" t="s">
        <v>177</v>
      </c>
      <c r="K12" s="3" t="s">
        <v>178</v>
      </c>
      <c r="L12" s="3" t="s">
        <v>28</v>
      </c>
      <c r="M12" s="3" t="s">
        <v>179</v>
      </c>
      <c r="N12" s="3" t="s">
        <v>180</v>
      </c>
    </row>
    <row r="13" spans="1:14" s="1" customFormat="1" ht="41.4" x14ac:dyDescent="0.25">
      <c r="A13" s="4" t="s">
        <v>30</v>
      </c>
      <c r="B13" s="18" t="s">
        <v>181</v>
      </c>
      <c r="C13" s="18" t="s">
        <v>53</v>
      </c>
      <c r="D13" s="6">
        <v>0.312</v>
      </c>
      <c r="E13" s="6">
        <v>0.17499999999999999</v>
      </c>
      <c r="F13" s="6">
        <v>0.42</v>
      </c>
      <c r="G13" s="6">
        <v>0.17399999999999999</v>
      </c>
      <c r="H13" s="5">
        <f>D13/E13</f>
        <v>1.7828571428571429</v>
      </c>
      <c r="I13" s="5">
        <f>F13/G13</f>
        <v>2.4137931034482758</v>
      </c>
      <c r="J13" s="28">
        <v>116781.40300000002</v>
      </c>
      <c r="K13" s="28">
        <v>145907.27399999998</v>
      </c>
      <c r="L13" s="18" t="s">
        <v>182</v>
      </c>
      <c r="M13" s="18" t="s">
        <v>183</v>
      </c>
      <c r="N13" s="18" t="s">
        <v>184</v>
      </c>
    </row>
    <row r="14" spans="1:14" s="1" customFormat="1" ht="41.4" x14ac:dyDescent="0.25">
      <c r="A14" s="4" t="s">
        <v>30</v>
      </c>
      <c r="B14" s="18" t="s">
        <v>185</v>
      </c>
      <c r="C14" s="18" t="s">
        <v>41</v>
      </c>
      <c r="D14" s="6">
        <v>0.16800000000000001</v>
      </c>
      <c r="E14" s="6">
        <v>8.6999999999999994E-2</v>
      </c>
      <c r="F14" s="6">
        <v>0.22800000000000001</v>
      </c>
      <c r="G14" s="6">
        <v>8.8999999999999996E-2</v>
      </c>
      <c r="H14" s="5">
        <f>D14/E14</f>
        <v>1.931034482758621</v>
      </c>
      <c r="I14" s="5">
        <f>F14/G14</f>
        <v>2.5617977528089888</v>
      </c>
      <c r="J14" s="28">
        <v>69045.939000000028</v>
      </c>
      <c r="K14" s="28">
        <v>82443.541000000012</v>
      </c>
      <c r="L14" s="18" t="s">
        <v>186</v>
      </c>
      <c r="M14" s="18" t="s">
        <v>183</v>
      </c>
      <c r="N14" s="18" t="s">
        <v>184</v>
      </c>
    </row>
    <row r="15" spans="1:14" s="1" customFormat="1" ht="55.2" x14ac:dyDescent="0.25">
      <c r="A15" s="4" t="s">
        <v>30</v>
      </c>
      <c r="B15" s="18" t="s">
        <v>187</v>
      </c>
      <c r="C15" s="18" t="s">
        <v>49</v>
      </c>
      <c r="D15" s="6" t="s">
        <v>8</v>
      </c>
      <c r="E15" s="6" t="s">
        <v>8</v>
      </c>
      <c r="F15" s="6">
        <v>0.193</v>
      </c>
      <c r="G15" s="6">
        <v>5.2999999999999999E-2</v>
      </c>
      <c r="H15" s="5" t="s">
        <v>8</v>
      </c>
      <c r="I15" s="5">
        <f>F15/G15</f>
        <v>3.6415094339622645</v>
      </c>
      <c r="J15" s="28" t="s">
        <v>8</v>
      </c>
      <c r="K15" s="28">
        <v>266554.96000000002</v>
      </c>
      <c r="L15" s="18" t="s">
        <v>50</v>
      </c>
      <c r="M15" s="18" t="s">
        <v>8</v>
      </c>
      <c r="N15" s="18" t="s">
        <v>188</v>
      </c>
    </row>
    <row r="16" spans="1:14" s="1" customFormat="1" ht="41.4" x14ac:dyDescent="0.25">
      <c r="A16" s="4" t="s">
        <v>55</v>
      </c>
      <c r="B16" s="18" t="s">
        <v>189</v>
      </c>
      <c r="C16" s="18" t="s">
        <v>57</v>
      </c>
      <c r="D16" s="6">
        <v>0.14000000000000001</v>
      </c>
      <c r="E16" s="6">
        <v>5.0999999999999997E-2</v>
      </c>
      <c r="F16" s="6">
        <v>0.156</v>
      </c>
      <c r="G16" s="6">
        <v>4.9000000000000002E-2</v>
      </c>
      <c r="H16" s="5">
        <f t="shared" ref="H16:H18" si="0">D16/E16</f>
        <v>2.7450980392156867</v>
      </c>
      <c r="I16" s="5">
        <f>F16/G16</f>
        <v>3.1836734693877551</v>
      </c>
      <c r="J16" s="28">
        <v>75865.291000000027</v>
      </c>
      <c r="K16" s="28">
        <v>63463.732999999993</v>
      </c>
      <c r="L16" s="18" t="s">
        <v>186</v>
      </c>
      <c r="M16" s="18" t="s">
        <v>183</v>
      </c>
      <c r="N16" s="18" t="s">
        <v>184</v>
      </c>
    </row>
    <row r="17" spans="1:14" s="1" customFormat="1" ht="55.2" x14ac:dyDescent="0.25">
      <c r="A17" s="4" t="s">
        <v>55</v>
      </c>
      <c r="B17" s="18" t="s">
        <v>190</v>
      </c>
      <c r="C17" s="18" t="s">
        <v>63</v>
      </c>
      <c r="D17" s="6">
        <v>0.46700000000000003</v>
      </c>
      <c r="E17" s="6">
        <v>0.12</v>
      </c>
      <c r="F17" s="6" t="s">
        <v>8</v>
      </c>
      <c r="G17" s="6" t="s">
        <v>8</v>
      </c>
      <c r="H17" s="5">
        <f>D17/E17</f>
        <v>3.8916666666666671</v>
      </c>
      <c r="I17" s="5" t="s">
        <v>8</v>
      </c>
      <c r="J17" s="28">
        <v>5346.576</v>
      </c>
      <c r="K17" s="28" t="s">
        <v>8</v>
      </c>
      <c r="L17" s="11" t="s">
        <v>191</v>
      </c>
      <c r="M17" s="4" t="s">
        <v>192</v>
      </c>
      <c r="N17" s="4" t="s">
        <v>8</v>
      </c>
    </row>
    <row r="18" spans="1:14" s="1" customFormat="1" ht="55.2" x14ac:dyDescent="0.25">
      <c r="A18" s="4" t="s">
        <v>55</v>
      </c>
      <c r="B18" s="18" t="s">
        <v>193</v>
      </c>
      <c r="C18" s="18" t="s">
        <v>59</v>
      </c>
      <c r="D18" s="6">
        <v>0.21299999999999999</v>
      </c>
      <c r="E18" s="6">
        <v>3.4000000000000002E-2</v>
      </c>
      <c r="F18" s="6">
        <v>0.14599999999999999</v>
      </c>
      <c r="G18" s="6">
        <v>3.5999999999999997E-2</v>
      </c>
      <c r="H18" s="5">
        <f t="shared" si="0"/>
        <v>6.2647058823529402</v>
      </c>
      <c r="I18" s="5">
        <f t="shared" ref="I18:I23" si="1">F18/G18</f>
        <v>4.0555555555555554</v>
      </c>
      <c r="J18" s="28">
        <v>84280.36</v>
      </c>
      <c r="K18" s="28">
        <v>125547.84</v>
      </c>
      <c r="L18" s="4" t="s">
        <v>194</v>
      </c>
      <c r="M18" s="4" t="s">
        <v>195</v>
      </c>
      <c r="N18" s="4" t="s">
        <v>196</v>
      </c>
    </row>
    <row r="19" spans="1:14" ht="179.4" x14ac:dyDescent="0.25">
      <c r="A19" s="4" t="s">
        <v>67</v>
      </c>
      <c r="B19" s="18" t="s">
        <v>161</v>
      </c>
      <c r="C19" s="18" t="s">
        <v>95</v>
      </c>
      <c r="D19" s="6">
        <v>6.2083730747563001E-2</v>
      </c>
      <c r="E19" s="6">
        <v>0.134323559572296</v>
      </c>
      <c r="F19" s="6">
        <v>0.30299999999999999</v>
      </c>
      <c r="G19" s="6">
        <v>8.1000000000000003E-2</v>
      </c>
      <c r="H19" s="5">
        <f>D19/E19</f>
        <v>0.4621953955452478</v>
      </c>
      <c r="I19" s="5">
        <f t="shared" si="1"/>
        <v>3.7407407407407405</v>
      </c>
      <c r="J19" s="28" t="s">
        <v>8</v>
      </c>
      <c r="K19" s="28">
        <v>50354.039999999994</v>
      </c>
      <c r="L19" s="13" t="s">
        <v>96</v>
      </c>
      <c r="M19" s="4" t="s">
        <v>197</v>
      </c>
      <c r="N19" s="18" t="s">
        <v>198</v>
      </c>
    </row>
    <row r="20" spans="1:14" ht="55.2" x14ac:dyDescent="0.25">
      <c r="A20" s="4" t="s">
        <v>67</v>
      </c>
      <c r="B20" s="18" t="s">
        <v>199</v>
      </c>
      <c r="C20" s="18" t="s">
        <v>69</v>
      </c>
      <c r="D20" s="6" t="s">
        <v>8</v>
      </c>
      <c r="E20" s="6" t="s">
        <v>8</v>
      </c>
      <c r="F20" s="6">
        <v>0.44400000000000001</v>
      </c>
      <c r="G20" s="6">
        <f>17.4%</f>
        <v>0.17399999999999999</v>
      </c>
      <c r="H20" s="6" t="s">
        <v>8</v>
      </c>
      <c r="I20" s="5">
        <f t="shared" si="1"/>
        <v>2.5517241379310347</v>
      </c>
      <c r="J20" s="28" t="s">
        <v>8</v>
      </c>
      <c r="K20" s="28">
        <v>210279.24</v>
      </c>
      <c r="L20" s="4" t="s">
        <v>168</v>
      </c>
      <c r="M20" s="4" t="s">
        <v>8</v>
      </c>
      <c r="N20" s="4" t="s">
        <v>200</v>
      </c>
    </row>
    <row r="21" spans="1:14" ht="55.2" x14ac:dyDescent="0.25">
      <c r="A21" s="4" t="s">
        <v>67</v>
      </c>
      <c r="B21" s="18" t="s">
        <v>155</v>
      </c>
      <c r="C21" s="18" t="s">
        <v>91</v>
      </c>
      <c r="D21" s="6" t="s">
        <v>8</v>
      </c>
      <c r="E21" s="6" t="s">
        <v>8</v>
      </c>
      <c r="F21" s="6">
        <v>0.121010563721933</v>
      </c>
      <c r="G21" s="6">
        <v>5.1319807369678803E-2</v>
      </c>
      <c r="H21" s="5" t="s">
        <v>8</v>
      </c>
      <c r="I21" s="5">
        <f t="shared" si="1"/>
        <v>2.3579699520351176</v>
      </c>
      <c r="J21" s="28" t="s">
        <v>8</v>
      </c>
      <c r="K21" s="28">
        <v>68610.758701063314</v>
      </c>
      <c r="L21" s="13" t="s">
        <v>92</v>
      </c>
      <c r="M21" s="4" t="s">
        <v>8</v>
      </c>
      <c r="N21" s="18" t="s">
        <v>201</v>
      </c>
    </row>
    <row r="22" spans="1:14" ht="82.8" x14ac:dyDescent="0.25">
      <c r="A22" s="4" t="s">
        <v>67</v>
      </c>
      <c r="B22" s="18" t="s">
        <v>202</v>
      </c>
      <c r="C22" s="18" t="s">
        <v>98</v>
      </c>
      <c r="D22" s="6" t="s">
        <v>8</v>
      </c>
      <c r="E22" s="6" t="s">
        <v>8</v>
      </c>
      <c r="F22" s="6">
        <f>52.9%+27%</f>
        <v>0.79900000000000004</v>
      </c>
      <c r="G22" s="6">
        <f>20.6%+32%</f>
        <v>0.52600000000000002</v>
      </c>
      <c r="H22" s="5" t="s">
        <v>8</v>
      </c>
      <c r="I22" s="5">
        <f t="shared" si="1"/>
        <v>1.5190114068441065</v>
      </c>
      <c r="J22" s="28" t="s">
        <v>8</v>
      </c>
      <c r="K22" s="28" t="s">
        <v>8</v>
      </c>
      <c r="L22" s="4" t="s">
        <v>99</v>
      </c>
      <c r="M22" s="4" t="s">
        <v>8</v>
      </c>
      <c r="N22" s="4" t="s">
        <v>203</v>
      </c>
    </row>
    <row r="23" spans="1:14" ht="151.80000000000001" x14ac:dyDescent="0.25">
      <c r="A23" s="4" t="s">
        <v>67</v>
      </c>
      <c r="B23" s="18" t="s">
        <v>204</v>
      </c>
      <c r="C23" s="18" t="s">
        <v>159</v>
      </c>
      <c r="D23" s="6" t="s">
        <v>8</v>
      </c>
      <c r="E23" s="6" t="s">
        <v>8</v>
      </c>
      <c r="F23" s="6">
        <f>100%-77.9%</f>
        <v>0.22099999999999997</v>
      </c>
      <c r="G23" s="6">
        <f>100%-93.3%</f>
        <v>6.700000000000006E-2</v>
      </c>
      <c r="H23" s="5" t="s">
        <v>8</v>
      </c>
      <c r="I23" s="5">
        <f t="shared" si="1"/>
        <v>3.298507462686564</v>
      </c>
      <c r="J23" s="28" t="s">
        <v>8</v>
      </c>
      <c r="K23" s="28" t="s">
        <v>8</v>
      </c>
      <c r="L23" s="4" t="s">
        <v>89</v>
      </c>
      <c r="M23" s="4" t="s">
        <v>8</v>
      </c>
      <c r="N23" s="4" t="s">
        <v>205</v>
      </c>
    </row>
    <row r="24" spans="1:14" ht="69" x14ac:dyDescent="0.25">
      <c r="A24" s="4" t="s">
        <v>67</v>
      </c>
      <c r="B24" s="18" t="s">
        <v>206</v>
      </c>
      <c r="C24" s="18" t="s">
        <v>105</v>
      </c>
      <c r="D24" s="6">
        <f>1-53.6%</f>
        <v>0.46399999999999997</v>
      </c>
      <c r="E24" s="6">
        <f>1-87.9%</f>
        <v>0.121</v>
      </c>
      <c r="F24" s="6">
        <f>1-47%</f>
        <v>0.53</v>
      </c>
      <c r="G24" s="6">
        <f>1-84%</f>
        <v>0.16000000000000003</v>
      </c>
      <c r="H24" s="5">
        <f>D24/E24</f>
        <v>3.8347107438016526</v>
      </c>
      <c r="I24" s="5">
        <f>F24/G24</f>
        <v>3.3124999999999996</v>
      </c>
      <c r="J24" s="28">
        <v>165217.26899999997</v>
      </c>
      <c r="K24" s="28">
        <v>407144.30000000005</v>
      </c>
      <c r="L24" s="4" t="s">
        <v>207</v>
      </c>
      <c r="M24" s="4" t="s">
        <v>208</v>
      </c>
      <c r="N24" s="4" t="s">
        <v>209</v>
      </c>
    </row>
    <row r="25" spans="1:14" ht="69" x14ac:dyDescent="0.25">
      <c r="A25" s="4" t="s">
        <v>67</v>
      </c>
      <c r="B25" s="18" t="s">
        <v>210</v>
      </c>
      <c r="C25" s="18" t="s">
        <v>84</v>
      </c>
      <c r="D25" s="7">
        <v>0.112</v>
      </c>
      <c r="E25" s="7">
        <v>2.1999999999999999E-2</v>
      </c>
      <c r="F25" s="6">
        <v>0.22</v>
      </c>
      <c r="G25" s="6">
        <v>3.5000000000000003E-2</v>
      </c>
      <c r="H25" s="5">
        <f>D25/E25</f>
        <v>5.0909090909090917</v>
      </c>
      <c r="I25" s="5">
        <f>F25/G25</f>
        <v>6.2857142857142856</v>
      </c>
      <c r="J25" s="28">
        <v>43351.47</v>
      </c>
      <c r="K25" s="28">
        <v>203572.15</v>
      </c>
      <c r="L25" s="4" t="s">
        <v>207</v>
      </c>
      <c r="M25" s="4" t="s">
        <v>208</v>
      </c>
      <c r="N25" s="4" t="s">
        <v>209</v>
      </c>
    </row>
    <row r="26" spans="1:14" s="1" customFormat="1" ht="69" x14ac:dyDescent="0.25">
      <c r="A26" s="4" t="s">
        <v>107</v>
      </c>
      <c r="B26" s="18" t="s">
        <v>211</v>
      </c>
      <c r="C26" s="18" t="s">
        <v>212</v>
      </c>
      <c r="D26" s="7">
        <f>1-0.68</f>
        <v>0.31999999999999995</v>
      </c>
      <c r="E26" s="6">
        <f>1-0.958</f>
        <v>4.2000000000000037E-2</v>
      </c>
      <c r="F26" s="6" t="s">
        <v>8</v>
      </c>
      <c r="G26" s="6" t="s">
        <v>8</v>
      </c>
      <c r="H26" s="5">
        <f>D26/E26</f>
        <v>7.6190476190476115</v>
      </c>
      <c r="I26" s="5" t="s">
        <v>8</v>
      </c>
      <c r="J26" s="28">
        <v>200395.46599999996</v>
      </c>
      <c r="K26" s="28" t="s">
        <v>8</v>
      </c>
      <c r="L26" s="4" t="s">
        <v>213</v>
      </c>
      <c r="M26" s="4" t="s">
        <v>214</v>
      </c>
      <c r="N26" s="4" t="s">
        <v>8</v>
      </c>
    </row>
    <row r="27" spans="1:14" s="1" customFormat="1" ht="55.2" x14ac:dyDescent="0.25">
      <c r="A27" s="4" t="s">
        <v>107</v>
      </c>
      <c r="B27" s="18" t="s">
        <v>215</v>
      </c>
      <c r="C27" s="18" t="s">
        <v>115</v>
      </c>
      <c r="D27" s="6">
        <v>0.27680401017148298</v>
      </c>
      <c r="E27" s="6">
        <v>6.6787716919278303E-2</v>
      </c>
      <c r="F27" s="6">
        <v>0.30399999999999999</v>
      </c>
      <c r="G27" s="6">
        <v>7.6999999999999999E-2</v>
      </c>
      <c r="H27" s="5">
        <f>D27/E27</f>
        <v>4.1445346979900037</v>
      </c>
      <c r="I27" s="5">
        <f>F27/G27</f>
        <v>3.948051948051948</v>
      </c>
      <c r="J27" s="28">
        <v>465251.61463712808</v>
      </c>
      <c r="K27" s="28">
        <v>51488.14</v>
      </c>
      <c r="L27" s="13" t="s">
        <v>96</v>
      </c>
      <c r="M27" s="4" t="s">
        <v>197</v>
      </c>
      <c r="N27" s="4" t="s">
        <v>198</v>
      </c>
    </row>
    <row r="28" spans="1:14" s="1" customFormat="1" ht="55.2" x14ac:dyDescent="0.25">
      <c r="A28" s="4" t="s">
        <v>107</v>
      </c>
      <c r="B28" s="18" t="s">
        <v>170</v>
      </c>
      <c r="C28" s="18" t="s">
        <v>109</v>
      </c>
      <c r="D28" s="6">
        <v>1.9188795850407701E-2</v>
      </c>
      <c r="E28" s="6">
        <v>1.09948981774601E-2</v>
      </c>
      <c r="F28" s="6">
        <v>0.16600000000000001</v>
      </c>
      <c r="G28" s="6">
        <v>3.0000000000000001E-3</v>
      </c>
      <c r="H28" s="5">
        <f>D28/E28</f>
        <v>1.7452454348095154</v>
      </c>
      <c r="I28" s="5">
        <f>F28/G28</f>
        <v>55.333333333333336</v>
      </c>
      <c r="J28" s="28">
        <v>18152.039841652895</v>
      </c>
      <c r="K28" s="28">
        <v>36971.660000000003</v>
      </c>
      <c r="L28" s="13" t="s">
        <v>96</v>
      </c>
      <c r="M28" s="4" t="s">
        <v>197</v>
      </c>
      <c r="N28" s="4" t="s">
        <v>198</v>
      </c>
    </row>
    <row r="29" spans="1:14" s="1" customFormat="1" ht="96.6" x14ac:dyDescent="0.25">
      <c r="A29" s="4" t="s">
        <v>107</v>
      </c>
      <c r="B29" s="4" t="s">
        <v>216</v>
      </c>
      <c r="C29" s="4" t="s">
        <v>118</v>
      </c>
      <c r="D29" s="21" t="s">
        <v>8</v>
      </c>
      <c r="E29" s="21" t="s">
        <v>8</v>
      </c>
      <c r="F29" s="21">
        <v>0.57399999999999995</v>
      </c>
      <c r="G29" s="21">
        <v>3.0000000000000001E-3</v>
      </c>
      <c r="H29" s="29" t="s">
        <v>8</v>
      </c>
      <c r="I29" s="29">
        <f>F29/G29</f>
        <v>191.33333333333331</v>
      </c>
      <c r="J29" s="28" t="s">
        <v>8</v>
      </c>
      <c r="K29" s="28" t="s">
        <v>8</v>
      </c>
      <c r="L29" s="13" t="s">
        <v>119</v>
      </c>
      <c r="M29" s="4" t="s">
        <v>8</v>
      </c>
      <c r="N29" s="4" t="s">
        <v>217</v>
      </c>
    </row>
    <row r="30" spans="1:14" s="1" customFormat="1" x14ac:dyDescent="0.25">
      <c r="A30" s="14"/>
      <c r="B30" s="14"/>
    </row>
    <row r="36" ht="73.2" customHeight="1" x14ac:dyDescent="0.25"/>
  </sheetData>
  <autoFilter ref="A12:N29" xr:uid="{3845D6DA-E790-43BF-8BC2-2A6501FADA93}"/>
  <mergeCells count="13">
    <mergeCell ref="B7:C7"/>
    <mergeCell ref="B8:C8"/>
    <mergeCell ref="A9:C9"/>
    <mergeCell ref="A1:C1"/>
    <mergeCell ref="A2:C2"/>
    <mergeCell ref="A4:C4"/>
    <mergeCell ref="B5:C5"/>
    <mergeCell ref="B6:C6"/>
    <mergeCell ref="L11:N11"/>
    <mergeCell ref="H11:I11"/>
    <mergeCell ref="J11:K11"/>
    <mergeCell ref="A11:C11"/>
    <mergeCell ref="D11:G11"/>
  </mergeCells>
  <conditionalFormatting sqref="H13:I29">
    <cfRule type="cellIs" dxfId="7" priority="5" operator="equal">
      <formula>"N/A"</formula>
    </cfRule>
    <cfRule type="cellIs" dxfId="6" priority="6" operator="greaterThanOrEqual">
      <formula>2</formula>
    </cfRule>
    <cfRule type="cellIs" dxfId="5" priority="7" operator="greaterThanOrEqual">
      <formula>1.1</formula>
    </cfRule>
    <cfRule type="cellIs" dxfId="4" priority="8" operator="lessThan">
      <formula>1.1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5BD03-6EF5-4BCA-B0B5-5C1E7412E2B3}">
  <dimension ref="A1:N34"/>
  <sheetViews>
    <sheetView topLeftCell="G18" zoomScaleNormal="100" workbookViewId="0">
      <selection activeCell="N20" sqref="N20"/>
    </sheetView>
  </sheetViews>
  <sheetFormatPr defaultColWidth="8.69921875" defaultRowHeight="13.8" x14ac:dyDescent="0.25"/>
  <cols>
    <col min="1" max="1" width="21.5" customWidth="1"/>
    <col min="2" max="2" width="43.69921875" customWidth="1"/>
    <col min="3" max="3" width="69.19921875" customWidth="1"/>
    <col min="4" max="4" width="15.8984375" customWidth="1"/>
    <col min="5" max="8" width="14" customWidth="1"/>
    <col min="9" max="9" width="15.59765625" customWidth="1"/>
    <col min="10" max="10" width="24" customWidth="1"/>
    <col min="11" max="11" width="25.69921875" customWidth="1"/>
    <col min="12" max="12" width="25" customWidth="1"/>
    <col min="13" max="13" width="21.5" customWidth="1"/>
    <col min="14" max="14" width="32.69921875" customWidth="1"/>
  </cols>
  <sheetData>
    <row r="1" spans="1:14" x14ac:dyDescent="0.25">
      <c r="A1" s="60" t="s">
        <v>0</v>
      </c>
      <c r="B1" s="60"/>
      <c r="C1" s="60"/>
    </row>
    <row r="2" spans="1:14" x14ac:dyDescent="0.25">
      <c r="A2" s="60" t="s">
        <v>256</v>
      </c>
      <c r="B2" s="60"/>
      <c r="C2" s="60"/>
    </row>
    <row r="4" spans="1:14" ht="17.399999999999999" x14ac:dyDescent="0.25">
      <c r="A4" s="61" t="s">
        <v>1</v>
      </c>
      <c r="B4" s="62"/>
      <c r="C4" s="63"/>
    </row>
    <row r="5" spans="1:14" x14ac:dyDescent="0.25">
      <c r="A5" s="37" t="s">
        <v>218</v>
      </c>
      <c r="B5" s="38"/>
      <c r="C5" s="39"/>
    </row>
    <row r="6" spans="1:14" x14ac:dyDescent="0.25">
      <c r="A6" s="40" t="s">
        <v>2</v>
      </c>
      <c r="B6" s="64" t="s">
        <v>3</v>
      </c>
      <c r="C6" s="65"/>
      <c r="D6" s="2"/>
      <c r="N6" s="2"/>
    </row>
    <row r="7" spans="1:14" x14ac:dyDescent="0.25">
      <c r="A7" s="41" t="s">
        <v>4</v>
      </c>
      <c r="B7" s="64" t="s">
        <v>5</v>
      </c>
      <c r="C7" s="65"/>
      <c r="D7" s="2"/>
      <c r="N7" s="2"/>
    </row>
    <row r="8" spans="1:14" x14ac:dyDescent="0.25">
      <c r="A8" s="42" t="s">
        <v>6</v>
      </c>
      <c r="B8" s="64" t="s">
        <v>7</v>
      </c>
      <c r="C8" s="65"/>
      <c r="D8" s="2"/>
      <c r="N8" s="2"/>
    </row>
    <row r="9" spans="1:14" x14ac:dyDescent="0.25">
      <c r="A9" s="43" t="s">
        <v>8</v>
      </c>
      <c r="B9" s="64" t="s">
        <v>9</v>
      </c>
      <c r="C9" s="65"/>
      <c r="D9" s="2"/>
      <c r="N9" s="2"/>
    </row>
    <row r="10" spans="1:14" ht="102" customHeight="1" x14ac:dyDescent="0.25">
      <c r="A10" s="66" t="s">
        <v>11</v>
      </c>
      <c r="B10" s="67"/>
      <c r="C10" s="68"/>
      <c r="D10" s="2"/>
      <c r="N10" s="2"/>
    </row>
    <row r="11" spans="1:14" x14ac:dyDescent="0.25">
      <c r="A11" s="56"/>
      <c r="B11" s="57"/>
      <c r="C11" s="58"/>
      <c r="D11" s="2"/>
      <c r="N11" s="2"/>
    </row>
    <row r="12" spans="1:14" ht="18.45" customHeight="1" x14ac:dyDescent="0.25">
      <c r="A12" s="69" t="s">
        <v>12</v>
      </c>
      <c r="B12" s="69"/>
      <c r="C12" s="69"/>
      <c r="D12" s="71" t="s">
        <v>13</v>
      </c>
      <c r="E12" s="72"/>
      <c r="F12" s="72"/>
      <c r="G12" s="72"/>
      <c r="H12" s="72"/>
      <c r="I12" s="73"/>
      <c r="J12" s="69" t="s">
        <v>14</v>
      </c>
      <c r="K12" s="69"/>
      <c r="L12" s="69"/>
      <c r="M12" s="69"/>
      <c r="N12" s="20" t="s">
        <v>16</v>
      </c>
    </row>
    <row r="13" spans="1:14" ht="27.6" x14ac:dyDescent="0.25">
      <c r="A13" s="3" t="s">
        <v>219</v>
      </c>
      <c r="B13" s="3" t="s">
        <v>139</v>
      </c>
      <c r="C13" s="3" t="s">
        <v>19</v>
      </c>
      <c r="D13" s="3" t="s">
        <v>220</v>
      </c>
      <c r="E13" s="3" t="s">
        <v>221</v>
      </c>
      <c r="F13" s="3" t="s">
        <v>222</v>
      </c>
      <c r="G13" s="3" t="s">
        <v>223</v>
      </c>
      <c r="H13" s="3" t="s">
        <v>224</v>
      </c>
      <c r="I13" s="3" t="s">
        <v>225</v>
      </c>
      <c r="J13" s="3" t="s">
        <v>226</v>
      </c>
      <c r="K13" s="3" t="s">
        <v>227</v>
      </c>
      <c r="L13" s="3" t="s">
        <v>228</v>
      </c>
      <c r="M13" s="3" t="s">
        <v>229</v>
      </c>
      <c r="N13" s="3" t="s">
        <v>28</v>
      </c>
    </row>
    <row r="14" spans="1:14" ht="55.2" x14ac:dyDescent="0.25">
      <c r="A14" s="10" t="s">
        <v>30</v>
      </c>
      <c r="B14" s="54" t="s">
        <v>230</v>
      </c>
      <c r="C14" s="11" t="s">
        <v>231</v>
      </c>
      <c r="D14" s="22">
        <v>0.112</v>
      </c>
      <c r="E14" s="23">
        <v>0.219</v>
      </c>
      <c r="F14" s="23">
        <v>0.19500000000000001</v>
      </c>
      <c r="G14" s="23">
        <v>0.20100000000000001</v>
      </c>
      <c r="H14" s="24" t="s">
        <v>8</v>
      </c>
      <c r="I14" s="24" t="s">
        <v>8</v>
      </c>
      <c r="J14" s="5">
        <f>E14/D14</f>
        <v>1.9553571428571428</v>
      </c>
      <c r="K14" s="5">
        <f>F14/D14</f>
        <v>1.7410714285714286</v>
      </c>
      <c r="L14" s="5">
        <f t="shared" ref="L14:L20" si="0">G14/D14</f>
        <v>1.7946428571428572</v>
      </c>
      <c r="M14" s="5" t="s">
        <v>8</v>
      </c>
      <c r="N14" s="11" t="s">
        <v>232</v>
      </c>
    </row>
    <row r="15" spans="1:14" ht="41.4" x14ac:dyDescent="0.25">
      <c r="A15" s="12" t="s">
        <v>67</v>
      </c>
      <c r="B15" s="55" t="s">
        <v>233</v>
      </c>
      <c r="C15" s="11" t="s">
        <v>234</v>
      </c>
      <c r="D15" s="22">
        <v>0.128</v>
      </c>
      <c r="E15" s="23">
        <v>0.14099999999999999</v>
      </c>
      <c r="F15" s="22">
        <v>0.23699999999999999</v>
      </c>
      <c r="G15" s="22">
        <v>0.215</v>
      </c>
      <c r="H15" s="24" t="s">
        <v>8</v>
      </c>
      <c r="I15" s="24" t="s">
        <v>8</v>
      </c>
      <c r="J15" s="5">
        <f t="shared" ref="J15:J18" si="1">E15/D15</f>
        <v>1.1015624999999998</v>
      </c>
      <c r="K15" s="5">
        <f t="shared" ref="K15:K18" si="2">F15/D15</f>
        <v>1.8515624999999998</v>
      </c>
      <c r="L15" s="5">
        <f t="shared" si="0"/>
        <v>1.6796875</v>
      </c>
      <c r="M15" s="5" t="s">
        <v>8</v>
      </c>
      <c r="N15" s="11" t="s">
        <v>232</v>
      </c>
    </row>
    <row r="16" spans="1:14" ht="41.4" x14ac:dyDescent="0.25">
      <c r="A16" s="12" t="s">
        <v>67</v>
      </c>
      <c r="B16" s="55" t="s">
        <v>235</v>
      </c>
      <c r="C16" s="11" t="s">
        <v>236</v>
      </c>
      <c r="D16" s="22">
        <v>0.11700000000000001</v>
      </c>
      <c r="E16" s="23">
        <v>0.17699999999999999</v>
      </c>
      <c r="F16" s="25">
        <v>0.249</v>
      </c>
      <c r="G16" s="25">
        <v>0.23100000000000001</v>
      </c>
      <c r="H16" s="24" t="s">
        <v>8</v>
      </c>
      <c r="I16" s="24" t="s">
        <v>8</v>
      </c>
      <c r="J16" s="5">
        <f t="shared" si="1"/>
        <v>1.5128205128205126</v>
      </c>
      <c r="K16" s="5">
        <f t="shared" si="2"/>
        <v>2.1282051282051282</v>
      </c>
      <c r="L16" s="5">
        <f t="shared" si="0"/>
        <v>1.9743589743589742</v>
      </c>
      <c r="M16" s="5" t="s">
        <v>8</v>
      </c>
      <c r="N16" s="11" t="s">
        <v>232</v>
      </c>
    </row>
    <row r="17" spans="1:14" ht="55.2" x14ac:dyDescent="0.25">
      <c r="A17" s="10" t="s">
        <v>8</v>
      </c>
      <c r="B17" s="54" t="s">
        <v>237</v>
      </c>
      <c r="C17" s="11" t="s">
        <v>238</v>
      </c>
      <c r="D17" s="25">
        <v>0.28499999999999998</v>
      </c>
      <c r="E17" s="25">
        <v>0.72899999999999998</v>
      </c>
      <c r="F17" s="25">
        <v>0.752</v>
      </c>
      <c r="G17" s="25">
        <v>0.746</v>
      </c>
      <c r="H17" s="24" t="s">
        <v>8</v>
      </c>
      <c r="I17" s="24" t="s">
        <v>8</v>
      </c>
      <c r="J17" s="5">
        <f t="shared" si="1"/>
        <v>2.5578947368421052</v>
      </c>
      <c r="K17" s="5">
        <f t="shared" si="2"/>
        <v>2.6385964912280704</v>
      </c>
      <c r="L17" s="5">
        <f t="shared" si="0"/>
        <v>2.617543859649123</v>
      </c>
      <c r="M17" s="5" t="s">
        <v>8</v>
      </c>
      <c r="N17" s="11" t="s">
        <v>232</v>
      </c>
    </row>
    <row r="18" spans="1:14" ht="69" x14ac:dyDescent="0.25">
      <c r="A18" s="10" t="s">
        <v>30</v>
      </c>
      <c r="B18" s="54" t="s">
        <v>239</v>
      </c>
      <c r="C18" s="11" t="s">
        <v>240</v>
      </c>
      <c r="D18" s="25">
        <v>0.125</v>
      </c>
      <c r="E18" s="26">
        <v>0.311</v>
      </c>
      <c r="F18" s="26">
        <v>0.16900000000000001</v>
      </c>
      <c r="G18" s="26">
        <v>0.20499999999999999</v>
      </c>
      <c r="H18" s="24" t="s">
        <v>8</v>
      </c>
      <c r="I18" s="24" t="s">
        <v>8</v>
      </c>
      <c r="J18" s="5">
        <f t="shared" si="1"/>
        <v>2.488</v>
      </c>
      <c r="K18" s="5">
        <f t="shared" si="2"/>
        <v>1.3520000000000001</v>
      </c>
      <c r="L18" s="5">
        <f t="shared" si="0"/>
        <v>1.64</v>
      </c>
      <c r="M18" s="5" t="s">
        <v>8</v>
      </c>
      <c r="N18" s="11" t="s">
        <v>232</v>
      </c>
    </row>
    <row r="19" spans="1:14" ht="41.4" x14ac:dyDescent="0.25">
      <c r="A19" s="10" t="s">
        <v>30</v>
      </c>
      <c r="B19" s="54" t="s">
        <v>241</v>
      </c>
      <c r="C19" s="4" t="s">
        <v>242</v>
      </c>
      <c r="D19" s="25">
        <v>0.105</v>
      </c>
      <c r="E19" s="25">
        <v>0.31</v>
      </c>
      <c r="F19" s="25">
        <v>0.56299999999999994</v>
      </c>
      <c r="G19" s="25">
        <v>0.499</v>
      </c>
      <c r="H19" s="24" t="s">
        <v>8</v>
      </c>
      <c r="I19" s="24" t="s">
        <v>8</v>
      </c>
      <c r="J19" s="5">
        <f>E19/D19</f>
        <v>2.9523809523809526</v>
      </c>
      <c r="K19" s="5">
        <f t="shared" ref="K19" si="3">F19/D19</f>
        <v>5.3619047619047615</v>
      </c>
      <c r="L19" s="5">
        <f t="shared" si="0"/>
        <v>4.7523809523809524</v>
      </c>
      <c r="M19" s="5" t="s">
        <v>8</v>
      </c>
      <c r="N19" s="4" t="s">
        <v>232</v>
      </c>
    </row>
    <row r="20" spans="1:14" ht="41.4" x14ac:dyDescent="0.25">
      <c r="A20" s="10" t="s">
        <v>30</v>
      </c>
      <c r="B20" s="54" t="s">
        <v>243</v>
      </c>
      <c r="C20" s="4" t="s">
        <v>244</v>
      </c>
      <c r="D20" s="25">
        <v>0.05</v>
      </c>
      <c r="E20" s="24" t="s">
        <v>8</v>
      </c>
      <c r="F20" s="25">
        <v>0.20899999999999999</v>
      </c>
      <c r="G20" s="25">
        <v>0.216</v>
      </c>
      <c r="H20" s="24" t="s">
        <v>8</v>
      </c>
      <c r="I20" s="24" t="s">
        <v>8</v>
      </c>
      <c r="J20" s="5" t="s">
        <v>8</v>
      </c>
      <c r="K20" s="5">
        <f>F20/D20</f>
        <v>4.18</v>
      </c>
      <c r="L20" s="5">
        <f t="shared" si="0"/>
        <v>4.3199999999999994</v>
      </c>
      <c r="M20" s="5" t="s">
        <v>8</v>
      </c>
      <c r="N20" s="4" t="s">
        <v>232</v>
      </c>
    </row>
    <row r="21" spans="1:14" ht="118.2" customHeight="1" x14ac:dyDescent="0.25">
      <c r="A21" s="10" t="s">
        <v>30</v>
      </c>
      <c r="B21" s="18" t="s">
        <v>245</v>
      </c>
      <c r="C21" s="4" t="s">
        <v>246</v>
      </c>
      <c r="D21" s="27">
        <v>0.17299999999999999</v>
      </c>
      <c r="E21" s="6" t="s">
        <v>8</v>
      </c>
      <c r="F21" s="6" t="s">
        <v>8</v>
      </c>
      <c r="G21" s="27">
        <v>0.23100000000000001</v>
      </c>
      <c r="H21" s="27">
        <v>0.1754</v>
      </c>
      <c r="I21" s="27">
        <v>0.31790000000000002</v>
      </c>
      <c r="J21" s="5" t="s">
        <v>8</v>
      </c>
      <c r="K21" s="5" t="s">
        <v>8</v>
      </c>
      <c r="L21" s="5">
        <f t="shared" ref="L21:L26" si="4">G21/D21</f>
        <v>1.3352601156069366</v>
      </c>
      <c r="M21" s="5">
        <f>I21/H21</f>
        <v>1.8124287343215508</v>
      </c>
      <c r="N21" s="18" t="s">
        <v>182</v>
      </c>
    </row>
    <row r="22" spans="1:14" ht="55.2" x14ac:dyDescent="0.25">
      <c r="A22" s="10" t="s">
        <v>30</v>
      </c>
      <c r="B22" s="18" t="s">
        <v>247</v>
      </c>
      <c r="C22" s="4" t="s">
        <v>248</v>
      </c>
      <c r="D22" s="27">
        <v>0.25700000000000001</v>
      </c>
      <c r="E22" s="6" t="s">
        <v>8</v>
      </c>
      <c r="F22" s="6" t="s">
        <v>8</v>
      </c>
      <c r="G22" s="27">
        <v>0.2293</v>
      </c>
      <c r="H22" s="27">
        <v>0.25690000000000002</v>
      </c>
      <c r="I22" s="27">
        <v>0.23630000000000001</v>
      </c>
      <c r="J22" s="5" t="s">
        <v>8</v>
      </c>
      <c r="K22" s="5" t="s">
        <v>8</v>
      </c>
      <c r="L22" s="5">
        <f t="shared" si="4"/>
        <v>0.89221789883268476</v>
      </c>
      <c r="M22" s="5">
        <f t="shared" ref="M22:M26" si="5">I22/H22</f>
        <v>0.91981315687037757</v>
      </c>
      <c r="N22" s="18" t="s">
        <v>182</v>
      </c>
    </row>
    <row r="23" spans="1:14" ht="55.2" x14ac:dyDescent="0.25">
      <c r="A23" s="10" t="s">
        <v>30</v>
      </c>
      <c r="B23" s="18" t="s">
        <v>249</v>
      </c>
      <c r="C23" s="4" t="s">
        <v>250</v>
      </c>
      <c r="D23" s="27">
        <v>0.184</v>
      </c>
      <c r="E23" s="6" t="s">
        <v>8</v>
      </c>
      <c r="F23" s="6" t="s">
        <v>8</v>
      </c>
      <c r="G23" s="27">
        <v>0.21995000000000001</v>
      </c>
      <c r="H23" s="27">
        <v>0.186</v>
      </c>
      <c r="I23" s="27">
        <v>0.16289999999999999</v>
      </c>
      <c r="J23" s="5" t="s">
        <v>8</v>
      </c>
      <c r="K23" s="5" t="s">
        <v>8</v>
      </c>
      <c r="L23" s="5">
        <f>G23/D23</f>
        <v>1.1953804347826087</v>
      </c>
      <c r="M23" s="5">
        <f t="shared" si="5"/>
        <v>0.87580645161290316</v>
      </c>
      <c r="N23" s="18" t="s">
        <v>182</v>
      </c>
    </row>
    <row r="24" spans="1:14" ht="55.2" x14ac:dyDescent="0.25">
      <c r="A24" s="10" t="s">
        <v>30</v>
      </c>
      <c r="B24" s="18" t="s">
        <v>251</v>
      </c>
      <c r="C24" s="4" t="s">
        <v>252</v>
      </c>
      <c r="D24" s="27">
        <v>0.20985699999999999</v>
      </c>
      <c r="E24" s="6" t="s">
        <v>8</v>
      </c>
      <c r="F24" s="6" t="s">
        <v>8</v>
      </c>
      <c r="G24" s="27">
        <v>0.47260000000000002</v>
      </c>
      <c r="H24" s="27">
        <v>0.2266</v>
      </c>
      <c r="I24" s="27">
        <v>0.62447399999999997</v>
      </c>
      <c r="J24" s="5" t="s">
        <v>8</v>
      </c>
      <c r="K24" s="5" t="s">
        <v>8</v>
      </c>
      <c r="L24" s="5">
        <f t="shared" si="4"/>
        <v>2.2520097018445897</v>
      </c>
      <c r="M24" s="5">
        <f t="shared" si="5"/>
        <v>2.7558428949691085</v>
      </c>
      <c r="N24" s="18" t="s">
        <v>182</v>
      </c>
    </row>
    <row r="25" spans="1:14" ht="55.2" x14ac:dyDescent="0.25">
      <c r="A25" s="10" t="s">
        <v>30</v>
      </c>
      <c r="B25" s="18" t="s">
        <v>253</v>
      </c>
      <c r="C25" s="4" t="s">
        <v>41</v>
      </c>
      <c r="D25" s="27">
        <v>0.13200000000000001</v>
      </c>
      <c r="E25" s="6" t="s">
        <v>8</v>
      </c>
      <c r="F25" s="6" t="s">
        <v>8</v>
      </c>
      <c r="G25" s="27">
        <v>8.8599999999999998E-2</v>
      </c>
      <c r="H25" s="27">
        <v>0.12939999999999999</v>
      </c>
      <c r="I25" s="27">
        <v>0.13439999999999999</v>
      </c>
      <c r="J25" s="5" t="s">
        <v>8</v>
      </c>
      <c r="K25" s="5" t="s">
        <v>8</v>
      </c>
      <c r="L25" s="5">
        <f t="shared" si="4"/>
        <v>0.67121212121212115</v>
      </c>
      <c r="M25" s="5">
        <f t="shared" si="5"/>
        <v>1.0386398763523956</v>
      </c>
      <c r="N25" s="18" t="s">
        <v>182</v>
      </c>
    </row>
    <row r="26" spans="1:14" ht="55.2" x14ac:dyDescent="0.25">
      <c r="A26" s="10" t="s">
        <v>30</v>
      </c>
      <c r="B26" s="18" t="s">
        <v>254</v>
      </c>
      <c r="C26" s="4" t="s">
        <v>255</v>
      </c>
      <c r="D26" s="27">
        <f>100%-83.96%</f>
        <v>0.1604000000000001</v>
      </c>
      <c r="E26" s="6" t="s">
        <v>8</v>
      </c>
      <c r="F26" s="6" t="s">
        <v>8</v>
      </c>
      <c r="G26" s="27">
        <f>100%-80.599%</f>
        <v>0.19401000000000002</v>
      </c>
      <c r="H26" s="27">
        <f>100%-83.8%</f>
        <v>0.16200000000000003</v>
      </c>
      <c r="I26" s="27">
        <f>100%-73.5%</f>
        <v>0.26500000000000001</v>
      </c>
      <c r="J26" s="5" t="s">
        <v>8</v>
      </c>
      <c r="K26" s="5" t="s">
        <v>8</v>
      </c>
      <c r="L26" s="5">
        <f t="shared" si="4"/>
        <v>1.2095386533665828</v>
      </c>
      <c r="M26" s="5">
        <f t="shared" si="5"/>
        <v>1.6358024691358022</v>
      </c>
      <c r="N26" s="18" t="s">
        <v>182</v>
      </c>
    </row>
    <row r="34" ht="70.95" customHeight="1" x14ac:dyDescent="0.25"/>
  </sheetData>
  <autoFilter ref="A13:A26" xr:uid="{FF55BD03-6EF5-4BCA-B0B5-5C1E7412E2B3}"/>
  <mergeCells count="11">
    <mergeCell ref="A1:C1"/>
    <mergeCell ref="A2:C2"/>
    <mergeCell ref="A4:C4"/>
    <mergeCell ref="B9:C9"/>
    <mergeCell ref="B8:C8"/>
    <mergeCell ref="A12:C12"/>
    <mergeCell ref="D12:I12"/>
    <mergeCell ref="J12:M12"/>
    <mergeCell ref="B6:C6"/>
    <mergeCell ref="B7:C7"/>
    <mergeCell ref="A10:C10"/>
  </mergeCells>
  <conditionalFormatting sqref="J14:M26">
    <cfRule type="cellIs" dxfId="3" priority="1" operator="equal">
      <formula>"N/A"</formula>
    </cfRule>
    <cfRule type="cellIs" dxfId="2" priority="2" operator="greaterThanOrEqual">
      <formula>2</formula>
    </cfRule>
    <cfRule type="cellIs" dxfId="1" priority="3" operator="greaterThanOrEqual">
      <formula>1.1</formula>
    </cfRule>
    <cfRule type="cellIs" dxfId="0" priority="4" operator="lessThan">
      <formula>1.1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958589-ed43-4b88-87f6-f92dbe30035f" xsi:nil="true"/>
    <lcf76f155ced4ddcb4097134ff3c332f xmlns="cdfe793c-46b0-429d-afd8-22a2643f1af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8795992B92FF4EAA0374B58BE8A2A1" ma:contentTypeVersion="16" ma:contentTypeDescription="Create a new document." ma:contentTypeScope="" ma:versionID="baa4449133025352e49463f6c5176988">
  <xsd:schema xmlns:xsd="http://www.w3.org/2001/XMLSchema" xmlns:xs="http://www.w3.org/2001/XMLSchema" xmlns:p="http://schemas.microsoft.com/office/2006/metadata/properties" xmlns:ns2="cdfe793c-46b0-429d-afd8-22a2643f1af1" xmlns:ns3="28958589-ed43-4b88-87f6-f92dbe30035f" targetNamespace="http://schemas.microsoft.com/office/2006/metadata/properties" ma:root="true" ma:fieldsID="97a9766395e257d435f85745484cf928" ns2:_="" ns3:_="">
    <xsd:import namespace="cdfe793c-46b0-429d-afd8-22a2643f1af1"/>
    <xsd:import namespace="28958589-ed43-4b88-87f6-f92dbe3003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e793c-46b0-429d-afd8-22a2643f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ef54cf-538f-42f6-9b16-c735c2681b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958589-ed43-4b88-87f6-f92dbe3003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beb93f-4f45-41ac-9c8b-3c5fa95c4769}" ma:internalName="TaxCatchAll" ma:showField="CatchAllData" ma:web="28958589-ed43-4b88-87f6-f92dbe3003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213E5-1BEE-4958-BCC6-992CBF8991D2}">
  <ds:schemaRefs>
    <ds:schemaRef ds:uri="http://schemas.microsoft.com/office/2006/metadata/properties"/>
    <ds:schemaRef ds:uri="http://schemas.microsoft.com/office/infopath/2007/PartnerControls"/>
    <ds:schemaRef ds:uri="28958589-ed43-4b88-87f6-f92dbe30035f"/>
    <ds:schemaRef ds:uri="cdfe793c-46b0-429d-afd8-22a2643f1af1"/>
  </ds:schemaRefs>
</ds:datastoreItem>
</file>

<file path=customXml/itemProps2.xml><?xml version="1.0" encoding="utf-8"?>
<ds:datastoreItem xmlns:ds="http://schemas.openxmlformats.org/officeDocument/2006/customXml" ds:itemID="{3E79EF39-0FE4-4566-9F88-B6E6464A2961}">
  <ds:schemaRefs>
    <ds:schemaRef ds:uri="http://schemas.microsoft.com/sharepoint/v3/contenttype/forms"/>
  </ds:schemaRefs>
</ds:datastoreItem>
</file>

<file path=customXml/itemProps3.xml><?xml version="1.0" encoding="utf-8"?>
<ds:datastoreItem xmlns:ds="http://schemas.openxmlformats.org/officeDocument/2006/customXml" ds:itemID="{3BEBDB4D-242D-4BCE-B62F-80FB2302D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e793c-46b0-429d-afd8-22a2643f1af1"/>
    <ds:schemaRef ds:uri="28958589-ed43-4b88-87f6-f92dbe300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Race and Ethnicity Appendix</vt:lpstr>
      <vt:lpstr>Disability Appendix</vt:lpstr>
      <vt:lpstr>Education-Income Appendix</vt:lpstr>
      <vt:lpstr>LGBTQ+ Appendix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LLaFlair@healthpolicyohio.org;HAkah@healthpolicyohio.org</dc:creator>
  <cp:keywords/>
  <dc:description/>
  <cp:lastModifiedBy>Lexi Chirakos</cp:lastModifiedBy>
  <cp:revision/>
  <dcterms:created xsi:type="dcterms:W3CDTF">2021-02-24T19:25:07Z</dcterms:created>
  <dcterms:modified xsi:type="dcterms:W3CDTF">2023-04-27T18:04:35Z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0x010100FC8795992B92FF4EAA0374B58BE8A2A1</vt:lpwstr>
  </property>
  <property fmtid="{D5CDD505-2E9C-101B-9397-08002B2CF9AE}" pid="3" name="MediaServiceImageTags">
    <vt:lpwstr/>
  </property>
</Properties>
</file>